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 activeTab="2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TH!$R$10:$R$3486</definedName>
    <definedName name="_C112">TH!$U$10:$U$3486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TH!$A$9:$AE$3371</definedName>
    <definedName name="_xlnm._FilterDatabase" localSheetId="17" hidden="1">TK!$A$1:$J$1</definedName>
    <definedName name="_M">TH!$B$10:$B$3486</definedName>
    <definedName name="_N111">TH!$Q$10:$Q$3486</definedName>
    <definedName name="_N112">TH!$T$10:$T$3486</definedName>
    <definedName name="_TM1">IF('IN-TC'!$S$4=1,1,IF('IN-TC'!$S$4=2,4,IF('IN-TC'!$S$4=3,7,10)))</definedName>
    <definedName name="_TM2">IF('IN-TC'!$S$4=1,3,IF('IN-TC'!$S$4=2,6,IF('IN-TC'!$S$4=3,9,12)))</definedName>
    <definedName name="DG">TH!$J$10:$J$3486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TH!$H$10:$H$3486</definedName>
    <definedName name="KHC">TH!$M$10:$M$3486</definedName>
    <definedName name="KHN">TH!$L$10:$L$3486</definedName>
    <definedName name="Loai">OFFSET(TH!$N$5,,,COUNTA(TH!$N$5:$N$41796))</definedName>
    <definedName name="Loai1">OFFSET(TH!$P$5,,,COUNTA(TH!$P$5:$P$41796))</definedName>
    <definedName name="Loai10">OFFSET(TH!$O$5,,,COUNTA(TH!$O$5:$O$41548))</definedName>
    <definedName name="Loai2">OFFSET(TH!$S$5,,,COUNTA(TH!$S$5:$S$41796))</definedName>
    <definedName name="Loai3">OFFSET('SO-TS'!$P$14,,,COUNTA('SO-TS'!$P$14:$P$3891))</definedName>
    <definedName name="Loai4">OFFSET(TH!$V$5,,,COUNTA(TH!$V$5:$V$41796))</definedName>
    <definedName name="Loai5">OFFSET(TH!$W$5,,,COUNTA(TH!$W$5:$W$41796))</definedName>
    <definedName name="Loai6">OFFSET(TH!$AA$5,,,COUNTA(TH!$AA$5:$AA$41796))</definedName>
    <definedName name="Loai7">OFFSET(TH!$X$5,,,COUNTA(TH!$X$5:$X$41796))</definedName>
    <definedName name="Loai8">OFFSET(TH!$Y$5,,,COUNTA(TH!$Y$5:$Y$41796))</definedName>
    <definedName name="Loai9">OFFSET(TH!$Z$5,,,COUNTA(TH!$Z$5:$Z$41796))</definedName>
    <definedName name="MH">TH!$F$10:$F$3486</definedName>
    <definedName name="NXT">NXT!$A$12:$A$735</definedName>
    <definedName name="_xlnm.Print_Area" localSheetId="4">'111'!$A$1:$J$78</definedName>
    <definedName name="_xlnm.Print_Area" localSheetId="6">'112'!$A$1:$I$146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TH!$I$10:$I$3486</definedName>
    <definedName name="TH">TH!$K$10:$K$3486</definedName>
    <definedName name="TM">TH!$A$10:$M$3486</definedName>
  </definedNames>
  <calcPr calcId="144525"/>
</workbook>
</file>

<file path=xl/calcChain.xml><?xml version="1.0" encoding="utf-8"?>
<calcChain xmlns="http://schemas.openxmlformats.org/spreadsheetml/2006/main">
  <c r="A26" i="12" l="1"/>
  <c r="Z1587" i="34"/>
  <c r="Y1587" i="34"/>
  <c r="U1587" i="34"/>
  <c r="T1587" i="34"/>
  <c r="S1587" i="34"/>
  <c r="O1587" i="34"/>
  <c r="N1587" i="34"/>
  <c r="C1587" i="34"/>
  <c r="B1587" i="34" s="1"/>
  <c r="AA1587" i="34" s="1"/>
  <c r="Z1586" i="34"/>
  <c r="Y1586" i="34"/>
  <c r="U1586" i="34"/>
  <c r="T1586" i="34"/>
  <c r="S1586" i="34"/>
  <c r="O1586" i="34"/>
  <c r="N1586" i="34"/>
  <c r="C1586" i="34"/>
  <c r="B1586" i="34" s="1"/>
  <c r="Z1618" i="34"/>
  <c r="Y1618" i="34"/>
  <c r="U1618" i="34"/>
  <c r="T1618" i="34"/>
  <c r="S1618" i="34"/>
  <c r="O1618" i="34"/>
  <c r="N1618" i="34"/>
  <c r="C1618" i="34"/>
  <c r="B1618" i="34" s="1"/>
  <c r="Z1619" i="34"/>
  <c r="Y1619" i="34"/>
  <c r="U1619" i="34"/>
  <c r="T1619" i="34"/>
  <c r="S1619" i="34"/>
  <c r="O1619" i="34"/>
  <c r="N1619" i="34"/>
  <c r="C1619" i="34"/>
  <c r="B1619" i="34" s="1"/>
  <c r="Z1617" i="34"/>
  <c r="Y1617" i="34"/>
  <c r="U1617" i="34"/>
  <c r="T1617" i="34"/>
  <c r="S1617" i="34"/>
  <c r="O1617" i="34"/>
  <c r="N1617" i="34"/>
  <c r="C1617" i="34"/>
  <c r="B1617" i="34" s="1"/>
  <c r="V1617" i="34" s="1"/>
  <c r="Q1586" i="34" l="1"/>
  <c r="A1586" i="34"/>
  <c r="R1586" i="34"/>
  <c r="V1586" i="34"/>
  <c r="P1587" i="34"/>
  <c r="X1587" i="34"/>
  <c r="AA1586" i="34"/>
  <c r="Q1587" i="34"/>
  <c r="P1586" i="34"/>
  <c r="X1586" i="34"/>
  <c r="R1587" i="34"/>
  <c r="V1587" i="34"/>
  <c r="A1587" i="34"/>
  <c r="AA1618" i="34"/>
  <c r="V1618" i="34"/>
  <c r="R1618" i="34"/>
  <c r="A1618" i="34"/>
  <c r="Q1618" i="34"/>
  <c r="X1618" i="34"/>
  <c r="P1618" i="34"/>
  <c r="X1619" i="34"/>
  <c r="P1619" i="34"/>
  <c r="AA1619" i="34"/>
  <c r="A1619" i="34"/>
  <c r="V1619" i="34"/>
  <c r="R1619" i="34"/>
  <c r="Q1619" i="34"/>
  <c r="AA1617" i="34"/>
  <c r="P1617" i="34"/>
  <c r="X1617" i="34"/>
  <c r="Q1617" i="34"/>
  <c r="A1617" i="34"/>
  <c r="R1617" i="34"/>
  <c r="Z1616" i="34"/>
  <c r="Y1616" i="34"/>
  <c r="U1616" i="34"/>
  <c r="T1616" i="34"/>
  <c r="S1616" i="34"/>
  <c r="O1616" i="34"/>
  <c r="N1616" i="34"/>
  <c r="C1616" i="34"/>
  <c r="B1616" i="34" s="1"/>
  <c r="B15" i="55"/>
  <c r="A15" i="55" s="1"/>
  <c r="K1614" i="34"/>
  <c r="A8" i="12"/>
  <c r="AD1615" i="34"/>
  <c r="Z1615" i="34"/>
  <c r="Y1615" i="34"/>
  <c r="U1615" i="34"/>
  <c r="T1615" i="34"/>
  <c r="S1615" i="34"/>
  <c r="O1615" i="34"/>
  <c r="N1615" i="34"/>
  <c r="C1615" i="34"/>
  <c r="B1615" i="34" s="1"/>
  <c r="AD1614" i="34"/>
  <c r="Z1614" i="34"/>
  <c r="Y1614" i="34"/>
  <c r="U1614" i="34"/>
  <c r="T1614" i="34"/>
  <c r="S1614" i="34"/>
  <c r="O1614" i="34"/>
  <c r="N1614" i="34"/>
  <c r="C1614" i="34"/>
  <c r="B1614" i="34" s="1"/>
  <c r="K1901" i="34"/>
  <c r="Z1902" i="34"/>
  <c r="Y1902" i="34"/>
  <c r="U1902" i="34"/>
  <c r="T1902" i="34"/>
  <c r="S1902" i="34"/>
  <c r="O1902" i="34"/>
  <c r="N1902" i="34"/>
  <c r="C1902" i="34"/>
  <c r="B1902" i="34" s="1"/>
  <c r="Z1901" i="34"/>
  <c r="Y1901" i="34"/>
  <c r="U1901" i="34"/>
  <c r="T1901" i="34"/>
  <c r="S1901" i="34"/>
  <c r="O1901" i="34"/>
  <c r="N1901" i="34"/>
  <c r="C1901" i="34"/>
  <c r="B1901" i="34" s="1"/>
  <c r="A1616" i="34" l="1"/>
  <c r="A1614" i="34"/>
  <c r="A1615" i="34"/>
  <c r="A1901" i="34"/>
  <c r="A1902" i="34"/>
  <c r="P289" i="60"/>
  <c r="Z1987" i="34"/>
  <c r="Y1987" i="34"/>
  <c r="U1987" i="34"/>
  <c r="T1987" i="34"/>
  <c r="S1987" i="34"/>
  <c r="O1987" i="34"/>
  <c r="N1987" i="34"/>
  <c r="K1987" i="34"/>
  <c r="C1987" i="34"/>
  <c r="B1987" i="34" s="1"/>
  <c r="Z1986" i="34"/>
  <c r="Y1986" i="34"/>
  <c r="U1986" i="34"/>
  <c r="T1986" i="34"/>
  <c r="S1986" i="34"/>
  <c r="O1986" i="34"/>
  <c r="N1986" i="34"/>
  <c r="K1986" i="34"/>
  <c r="C1986" i="34"/>
  <c r="B1986" i="34" s="1"/>
  <c r="Z1975" i="34"/>
  <c r="Y1975" i="34"/>
  <c r="U1975" i="34"/>
  <c r="T1975" i="34"/>
  <c r="S1975" i="34"/>
  <c r="O1975" i="34"/>
  <c r="N1975" i="34"/>
  <c r="K1975" i="34"/>
  <c r="C1975" i="34"/>
  <c r="B1975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Y1612" i="34"/>
  <c r="Z1612" i="34"/>
  <c r="N1613" i="34"/>
  <c r="O1613" i="34"/>
  <c r="Y1613" i="34"/>
  <c r="Z1613" i="34"/>
  <c r="N1620" i="34"/>
  <c r="O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Y1632" i="34"/>
  <c r="Z1632" i="34"/>
  <c r="N1633" i="34"/>
  <c r="O1633" i="34"/>
  <c r="Y1633" i="34"/>
  <c r="Z1633" i="34"/>
  <c r="N1634" i="34"/>
  <c r="O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8" i="34"/>
  <c r="O1708" i="34"/>
  <c r="S1708" i="34"/>
  <c r="T1708" i="34"/>
  <c r="U1708" i="34"/>
  <c r="Y1708" i="34"/>
  <c r="Z1708" i="34"/>
  <c r="N1707" i="34"/>
  <c r="O1707" i="34"/>
  <c r="S1707" i="34"/>
  <c r="T1707" i="34"/>
  <c r="U1707" i="34"/>
  <c r="Y1707" i="34"/>
  <c r="Z1707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Y11" i="34"/>
  <c r="Y12" i="34"/>
  <c r="Y13" i="34"/>
  <c r="Y14" i="34"/>
  <c r="Y15" i="34"/>
  <c r="Y16" i="34"/>
  <c r="Y17" i="34"/>
  <c r="Y18" i="34"/>
  <c r="Y19" i="34"/>
  <c r="Y10" i="34"/>
  <c r="A1986" i="34" l="1"/>
  <c r="A1987" i="34"/>
  <c r="A1975" i="34"/>
  <c r="K2001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2685" i="34"/>
  <c r="K2686" i="34"/>
  <c r="K2687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C2687" i="34"/>
  <c r="C2688" i="34"/>
  <c r="C2689" i="34"/>
  <c r="C2690" i="34"/>
  <c r="C2691" i="34"/>
  <c r="C2692" i="34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B2709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002" i="34"/>
  <c r="A2700" i="34" l="1"/>
  <c r="A2695" i="34"/>
  <c r="A2699" i="34"/>
  <c r="A2703" i="34"/>
  <c r="A2704" i="34"/>
  <c r="A2708" i="34"/>
  <c r="A2696" i="34"/>
  <c r="A2707" i="34"/>
  <c r="A2705" i="34"/>
  <c r="A2709" i="34"/>
  <c r="A2697" i="34"/>
  <c r="A2701" i="34"/>
  <c r="A2694" i="34"/>
  <c r="A2698" i="34"/>
  <c r="A2702" i="34"/>
  <c r="A2706" i="34"/>
  <c r="K1974" i="34"/>
  <c r="C1974" i="34"/>
  <c r="B1974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1974" i="34" l="1"/>
  <c r="S569" i="60" l="1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AC1461" i="34"/>
  <c r="K1461" i="34"/>
  <c r="C1461" i="34"/>
  <c r="B1461" i="34" s="1"/>
  <c r="AC1486" i="34"/>
  <c r="K1486" i="34"/>
  <c r="C1486" i="34"/>
  <c r="B1486" i="34" s="1"/>
  <c r="C1487" i="34"/>
  <c r="B1487" i="34" s="1"/>
  <c r="AC1485" i="34"/>
  <c r="K1485" i="34"/>
  <c r="C1485" i="34"/>
  <c r="B1485" i="34" s="1"/>
  <c r="C1693" i="34"/>
  <c r="B1693" i="34" s="1"/>
  <c r="C1692" i="34"/>
  <c r="B1692" i="34" s="1"/>
  <c r="AC1691" i="34"/>
  <c r="K1691" i="34"/>
  <c r="C1691" i="34"/>
  <c r="B1691" i="34" s="1"/>
  <c r="C1690" i="34"/>
  <c r="B1690" i="34" s="1"/>
  <c r="AC1689" i="34"/>
  <c r="K1689" i="34"/>
  <c r="C1689" i="34"/>
  <c r="B1689" i="34" s="1"/>
  <c r="J599" i="60" l="1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92" i="34"/>
  <c r="A1693" i="34"/>
  <c r="A1690" i="34"/>
  <c r="A1689" i="34"/>
  <c r="C1874" i="34"/>
  <c r="B1874" i="34" s="1"/>
  <c r="C1873" i="34"/>
  <c r="B1873" i="34" s="1"/>
  <c r="C1726" i="34"/>
  <c r="B1726" i="34" s="1"/>
  <c r="C1725" i="34"/>
  <c r="B1725" i="34" s="1"/>
  <c r="A1874" i="34" l="1"/>
  <c r="A1873" i="34"/>
  <c r="A1726" i="34"/>
  <c r="A1725" i="34"/>
  <c r="C1646" i="34" l="1"/>
  <c r="B1646" i="34" s="1"/>
  <c r="C1645" i="34"/>
  <c r="B1645" i="34" s="1"/>
  <c r="C1644" i="34"/>
  <c r="B1644" i="34" s="1"/>
  <c r="C1767" i="34"/>
  <c r="B1767" i="34" s="1"/>
  <c r="C1766" i="34"/>
  <c r="B1766" i="34" s="1"/>
  <c r="C1642" i="34"/>
  <c r="B1642" i="34" s="1"/>
  <c r="C1643" i="34"/>
  <c r="B1643" i="34" s="1"/>
  <c r="C1641" i="34"/>
  <c r="B1641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A1645" i="34" l="1"/>
  <c r="A1646" i="34"/>
  <c r="A1644" i="34"/>
  <c r="A1767" i="34"/>
  <c r="A1766" i="34"/>
  <c r="A1642" i="34"/>
  <c r="A1643" i="34"/>
  <c r="A1641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45" i="34" l="1"/>
  <c r="K1945" i="34" s="1"/>
  <c r="C1945" i="34"/>
  <c r="B1945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9" i="34"/>
  <c r="B1669" i="34" s="1"/>
  <c r="C1668" i="34"/>
  <c r="B1668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893" i="34"/>
  <c r="B1893" i="34" s="1"/>
  <c r="C1892" i="34"/>
  <c r="B1892" i="34" s="1"/>
  <c r="C1891" i="34"/>
  <c r="B1891" i="34" s="1"/>
  <c r="C1890" i="34"/>
  <c r="B1890" i="34" s="1"/>
  <c r="C1883" i="34"/>
  <c r="B1883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916" i="34"/>
  <c r="B1916" i="34" s="1"/>
  <c r="C1915" i="34"/>
  <c r="B1915" i="34" s="1"/>
  <c r="C1914" i="34"/>
  <c r="B1914" i="34" s="1"/>
  <c r="C1913" i="34"/>
  <c r="B1913" i="34" s="1"/>
  <c r="C1872" i="34"/>
  <c r="B1872" i="34" s="1"/>
  <c r="C1871" i="34"/>
  <c r="B1871" i="34" s="1"/>
  <c r="C1848" i="34"/>
  <c r="B1848" i="34" s="1"/>
  <c r="C1847" i="34"/>
  <c r="B1847" i="34" s="1"/>
  <c r="C1843" i="34"/>
  <c r="B1843" i="34" s="1"/>
  <c r="C1842" i="34"/>
  <c r="B1842" i="34" s="1"/>
  <c r="C1841" i="34"/>
  <c r="B1841" i="34" s="1"/>
  <c r="C1840" i="34"/>
  <c r="B1840" i="34" s="1"/>
  <c r="C1831" i="34"/>
  <c r="B1831" i="34" s="1"/>
  <c r="C1824" i="34"/>
  <c r="B1824" i="34" s="1"/>
  <c r="C1823" i="34"/>
  <c r="B1823" i="34" s="1"/>
  <c r="C1822" i="34"/>
  <c r="B1822" i="34" s="1"/>
  <c r="C1917" i="34"/>
  <c r="B1917" i="34" s="1"/>
  <c r="C1864" i="34"/>
  <c r="B1864" i="34" s="1"/>
  <c r="C1863" i="34"/>
  <c r="B1863" i="34" s="1"/>
  <c r="C1850" i="34"/>
  <c r="B1850" i="34" s="1"/>
  <c r="C1849" i="34"/>
  <c r="B1849" i="34" s="1"/>
  <c r="C1799" i="34"/>
  <c r="B1799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464" i="34"/>
  <c r="B1464" i="34" s="1"/>
  <c r="C1463" i="34"/>
  <c r="B1463" i="34" s="1"/>
  <c r="C1782" i="34"/>
  <c r="B1782" i="34" s="1"/>
  <c r="C1777" i="34"/>
  <c r="B1777" i="34" s="1"/>
  <c r="C1776" i="34"/>
  <c r="B1776" i="34" s="1"/>
  <c r="C1741" i="34"/>
  <c r="B174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B408" i="55"/>
  <c r="A408" i="55" s="1"/>
  <c r="A1945" i="34" l="1"/>
  <c r="A1005" i="34"/>
  <c r="A1669" i="34"/>
  <c r="A1668" i="34"/>
  <c r="A1918" i="34"/>
  <c r="A1922" i="34"/>
  <c r="A1921" i="34"/>
  <c r="A1919" i="34"/>
  <c r="A1923" i="34"/>
  <c r="A1920" i="34"/>
  <c r="A1924" i="34"/>
  <c r="A1910" i="34"/>
  <c r="A1909" i="34"/>
  <c r="A1892" i="34"/>
  <c r="A1891" i="34"/>
  <c r="A1893" i="34"/>
  <c r="A1883" i="34"/>
  <c r="A1911" i="34"/>
  <c r="A1915" i="34"/>
  <c r="A1890" i="34"/>
  <c r="A1908" i="34"/>
  <c r="A1912" i="34"/>
  <c r="A1871" i="34"/>
  <c r="A1869" i="34"/>
  <c r="A1865" i="34"/>
  <c r="A1867" i="34"/>
  <c r="A1866" i="34"/>
  <c r="A1870" i="34"/>
  <c r="A1868" i="34"/>
  <c r="A1913" i="34"/>
  <c r="A1916" i="34"/>
  <c r="A1872" i="34"/>
  <c r="A1914" i="34"/>
  <c r="A1847" i="34"/>
  <c r="A1840" i="34"/>
  <c r="A1822" i="34"/>
  <c r="A1848" i="34"/>
  <c r="A1841" i="34"/>
  <c r="A1824" i="34"/>
  <c r="A1823" i="34"/>
  <c r="A1842" i="34"/>
  <c r="A1831" i="34"/>
  <c r="A1843" i="34"/>
  <c r="A1864" i="34"/>
  <c r="A1850" i="34"/>
  <c r="A1863" i="34"/>
  <c r="A1849" i="34"/>
  <c r="A1917" i="34"/>
  <c r="A1792" i="34"/>
  <c r="A1788" i="34"/>
  <c r="A1786" i="34"/>
  <c r="A1789" i="34"/>
  <c r="A1784" i="34"/>
  <c r="A1790" i="34"/>
  <c r="A1785" i="34"/>
  <c r="A1799" i="34"/>
  <c r="A1783" i="34"/>
  <c r="A1787" i="34"/>
  <c r="A1791" i="34"/>
  <c r="A1777" i="34"/>
  <c r="A1713" i="34"/>
  <c r="A1776" i="34"/>
  <c r="A1463" i="34"/>
  <c r="A1464" i="34"/>
  <c r="A1714" i="34"/>
  <c r="A1717" i="34"/>
  <c r="A1718" i="34"/>
  <c r="A1715" i="34"/>
  <c r="A1782" i="34"/>
  <c r="A1719" i="34"/>
  <c r="A1716" i="34"/>
  <c r="A1741" i="34"/>
  <c r="AC1925" i="34"/>
  <c r="K1925" i="34"/>
  <c r="AC1904" i="34"/>
  <c r="K1904" i="34"/>
  <c r="AC1894" i="34"/>
  <c r="K1894" i="34"/>
  <c r="AC1884" i="34"/>
  <c r="K1884" i="34"/>
  <c r="K1880" i="34"/>
  <c r="AC1880" i="34"/>
  <c r="AC1860" i="34"/>
  <c r="K1860" i="34"/>
  <c r="AC1898" i="34"/>
  <c r="K1898" i="34"/>
  <c r="C1898" i="34"/>
  <c r="B1898" i="34" s="1"/>
  <c r="AC1897" i="34"/>
  <c r="K1897" i="34"/>
  <c r="C1897" i="34"/>
  <c r="B1897" i="34" s="1"/>
  <c r="C1896" i="34"/>
  <c r="B1896" i="34" s="1"/>
  <c r="C1895" i="34"/>
  <c r="B1895" i="34" s="1"/>
  <c r="C1894" i="34"/>
  <c r="B1894" i="34" s="1"/>
  <c r="C1889" i="34"/>
  <c r="B1889" i="34" s="1"/>
  <c r="AC1888" i="34"/>
  <c r="K1888" i="34"/>
  <c r="C1888" i="34"/>
  <c r="B1888" i="34" s="1"/>
  <c r="AC1887" i="34"/>
  <c r="K1887" i="34"/>
  <c r="C1887" i="34"/>
  <c r="B1887" i="34" s="1"/>
  <c r="C1886" i="34"/>
  <c r="B1886" i="34" s="1"/>
  <c r="C1885" i="34"/>
  <c r="B1885" i="34" s="1"/>
  <c r="C1884" i="34"/>
  <c r="B1884" i="34" s="1"/>
  <c r="C1882" i="34"/>
  <c r="B1882" i="34" s="1"/>
  <c r="C1881" i="34"/>
  <c r="B1881" i="34" s="1"/>
  <c r="C1880" i="34"/>
  <c r="B1880" i="34" s="1"/>
  <c r="C1879" i="34"/>
  <c r="B1879" i="34" s="1"/>
  <c r="AC1878" i="34"/>
  <c r="K1878" i="34"/>
  <c r="C1878" i="34"/>
  <c r="B1878" i="34" s="1"/>
  <c r="AC1877" i="34"/>
  <c r="K1877" i="34"/>
  <c r="C1877" i="34"/>
  <c r="B1877" i="34" s="1"/>
  <c r="AC1876" i="34"/>
  <c r="K1876" i="34"/>
  <c r="C1876" i="34"/>
  <c r="B1876" i="34" s="1"/>
  <c r="AC1875" i="34"/>
  <c r="K1875" i="34"/>
  <c r="C1875" i="34"/>
  <c r="B1875" i="34" s="1"/>
  <c r="C1862" i="34"/>
  <c r="B1862" i="34" s="1"/>
  <c r="C1861" i="34"/>
  <c r="B1861" i="34" s="1"/>
  <c r="C1860" i="34"/>
  <c r="B1860" i="34" s="1"/>
  <c r="AC1931" i="34"/>
  <c r="K1931" i="34"/>
  <c r="C1931" i="34"/>
  <c r="B1931" i="34" s="1"/>
  <c r="C1930" i="34"/>
  <c r="B1930" i="34" s="1"/>
  <c r="AC1929" i="34"/>
  <c r="K1929" i="34"/>
  <c r="C1929" i="34"/>
  <c r="B1929" i="34" s="1"/>
  <c r="C1927" i="34"/>
  <c r="B1927" i="34" s="1"/>
  <c r="C1926" i="34"/>
  <c r="B1926" i="34" s="1"/>
  <c r="C1925" i="34"/>
  <c r="B1925" i="34" s="1"/>
  <c r="C1906" i="34"/>
  <c r="B1906" i="34" s="1"/>
  <c r="C1905" i="34"/>
  <c r="B1905" i="34" s="1"/>
  <c r="C1904" i="34"/>
  <c r="B1904" i="34" s="1"/>
  <c r="C1900" i="34"/>
  <c r="B1900" i="34" s="1"/>
  <c r="AC1899" i="34"/>
  <c r="K1899" i="34"/>
  <c r="C1899" i="34"/>
  <c r="B1899" i="34" s="1"/>
  <c r="AC1857" i="34"/>
  <c r="K1857" i="34"/>
  <c r="AC1854" i="34"/>
  <c r="K1854" i="34"/>
  <c r="AC1851" i="34"/>
  <c r="K1851" i="34"/>
  <c r="AC1844" i="34"/>
  <c r="K1844" i="34"/>
  <c r="K1837" i="34"/>
  <c r="AC1837" i="34"/>
  <c r="AC1834" i="34"/>
  <c r="K1834" i="34"/>
  <c r="AC1814" i="34"/>
  <c r="K1814" i="34"/>
  <c r="C1846" i="34"/>
  <c r="B1846" i="34" s="1"/>
  <c r="C1845" i="34"/>
  <c r="B1845" i="34" s="1"/>
  <c r="C1844" i="34"/>
  <c r="B1844" i="34" s="1"/>
  <c r="C1839" i="34"/>
  <c r="B1839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AC1832" i="34"/>
  <c r="K1832" i="34"/>
  <c r="C1832" i="34"/>
  <c r="B1832" i="34" s="1"/>
  <c r="C1830" i="34"/>
  <c r="B1830" i="34" s="1"/>
  <c r="AC1829" i="34"/>
  <c r="K1829" i="34"/>
  <c r="C1829" i="34"/>
  <c r="B1829" i="34" s="1"/>
  <c r="AC1828" i="34"/>
  <c r="K1828" i="34"/>
  <c r="C1828" i="34"/>
  <c r="B1828" i="34" s="1"/>
  <c r="C1827" i="34"/>
  <c r="B1827" i="34" s="1"/>
  <c r="AC1826" i="34"/>
  <c r="K1826" i="34"/>
  <c r="C1826" i="34"/>
  <c r="B1826" i="34" s="1"/>
  <c r="AC1825" i="34"/>
  <c r="K1825" i="34"/>
  <c r="C1825" i="34"/>
  <c r="B1825" i="34" s="1"/>
  <c r="C1816" i="34"/>
  <c r="B1816" i="34" s="1"/>
  <c r="C1815" i="34"/>
  <c r="B1815" i="34" s="1"/>
  <c r="C1814" i="34"/>
  <c r="B1814" i="34" s="1"/>
  <c r="AC1932" i="34"/>
  <c r="K1932" i="34"/>
  <c r="C1932" i="34"/>
  <c r="B193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935" i="34"/>
  <c r="B1935" i="34" s="1"/>
  <c r="AC1934" i="34"/>
  <c r="K1934" i="34"/>
  <c r="C1934" i="34"/>
  <c r="B1934" i="34" s="1"/>
  <c r="C1933" i="34"/>
  <c r="B1933" i="34" s="1"/>
  <c r="AC1811" i="34"/>
  <c r="K1811" i="34"/>
  <c r="A55" i="70"/>
  <c r="I1797" i="34"/>
  <c r="K1797" i="34" s="1"/>
  <c r="AC1793" i="34"/>
  <c r="K1793" i="34"/>
  <c r="K1778" i="34"/>
  <c r="AC1778" i="34"/>
  <c r="AC1768" i="34"/>
  <c r="K1768" i="34"/>
  <c r="AC1802" i="34"/>
  <c r="K1802" i="34"/>
  <c r="C1802" i="34"/>
  <c r="B1802" i="34" s="1"/>
  <c r="AC1801" i="34"/>
  <c r="K1801" i="34"/>
  <c r="C1801" i="34"/>
  <c r="B1801" i="34" s="1"/>
  <c r="C1798" i="34"/>
  <c r="B1798" i="34" s="1"/>
  <c r="C1797" i="34"/>
  <c r="B1797" i="34" s="1"/>
  <c r="C1795" i="34"/>
  <c r="B1795" i="34" s="1"/>
  <c r="C1794" i="34"/>
  <c r="B1794" i="34" s="1"/>
  <c r="C1793" i="34"/>
  <c r="B1793" i="34" s="1"/>
  <c r="C1780" i="34"/>
  <c r="B1780" i="34" s="1"/>
  <c r="C1779" i="34"/>
  <c r="B1779" i="34" s="1"/>
  <c r="C1778" i="34"/>
  <c r="B1778" i="34" s="1"/>
  <c r="C1770" i="34"/>
  <c r="B1770" i="34" s="1"/>
  <c r="C1769" i="34"/>
  <c r="B1769" i="34" s="1"/>
  <c r="C1768" i="34"/>
  <c r="B1768" i="34" s="1"/>
  <c r="C1765" i="34"/>
  <c r="B1765" i="34" s="1"/>
  <c r="C1764" i="34"/>
  <c r="B1764" i="34" s="1"/>
  <c r="AC1763" i="34"/>
  <c r="K1763" i="34"/>
  <c r="C1763" i="34"/>
  <c r="B1763" i="34" s="1"/>
  <c r="C1810" i="34"/>
  <c r="B1810" i="34" s="1"/>
  <c r="AC1809" i="34"/>
  <c r="K1809" i="34"/>
  <c r="C1809" i="34"/>
  <c r="B1809" i="34" s="1"/>
  <c r="AC1808" i="34"/>
  <c r="K1808" i="34"/>
  <c r="C1808" i="34"/>
  <c r="B1808" i="34" s="1"/>
  <c r="C1807" i="34"/>
  <c r="B1807" i="34" s="1"/>
  <c r="AC1806" i="34"/>
  <c r="K1806" i="34"/>
  <c r="C1806" i="34"/>
  <c r="B1806" i="34" s="1"/>
  <c r="AC1805" i="34"/>
  <c r="K1805" i="34"/>
  <c r="C1805" i="34"/>
  <c r="B1805" i="34" s="1"/>
  <c r="C1804" i="34"/>
  <c r="B1804" i="34" s="1"/>
  <c r="AC1803" i="34"/>
  <c r="K1803" i="34"/>
  <c r="C1803" i="34"/>
  <c r="B1803" i="34" s="1"/>
  <c r="C1813" i="34"/>
  <c r="B1813" i="34" s="1"/>
  <c r="C1812" i="34"/>
  <c r="B1812" i="34" s="1"/>
  <c r="C1811" i="34"/>
  <c r="B1811" i="34" s="1"/>
  <c r="A1876" i="34" l="1"/>
  <c r="A1887" i="34"/>
  <c r="A1899" i="34"/>
  <c r="A1826" i="34"/>
  <c r="A1861" i="34"/>
  <c r="A1898" i="34"/>
  <c r="A1881" i="34"/>
  <c r="A1933" i="34"/>
  <c r="A1878" i="34"/>
  <c r="A1906" i="34"/>
  <c r="A1768" i="34"/>
  <c r="A1900" i="34"/>
  <c r="A1877" i="34"/>
  <c r="A1886" i="34"/>
  <c r="A1905" i="34"/>
  <c r="A1932" i="34"/>
  <c r="A1931" i="34"/>
  <c r="A1926" i="34"/>
  <c r="A1904" i="34"/>
  <c r="A1895" i="34"/>
  <c r="A1894" i="34"/>
  <c r="A1888" i="34"/>
  <c r="A1884" i="34"/>
  <c r="A1897" i="34"/>
  <c r="A1896" i="34"/>
  <c r="A1860" i="34"/>
  <c r="A1885" i="34"/>
  <c r="A1879" i="34"/>
  <c r="A1875" i="34"/>
  <c r="A1889" i="34"/>
  <c r="A1862" i="34"/>
  <c r="A1880" i="34"/>
  <c r="A1882" i="34"/>
  <c r="A1925" i="34"/>
  <c r="A1929" i="34"/>
  <c r="A1930" i="34"/>
  <c r="A1927" i="34"/>
  <c r="A1856" i="34"/>
  <c r="A1852" i="34"/>
  <c r="A1846" i="34"/>
  <c r="A1838" i="34"/>
  <c r="A1834" i="34"/>
  <c r="A1829" i="34"/>
  <c r="A1825" i="34"/>
  <c r="A1816" i="34"/>
  <c r="A1815" i="34"/>
  <c r="A1839" i="34"/>
  <c r="A1835" i="34"/>
  <c r="A1844" i="34"/>
  <c r="A1845" i="34"/>
  <c r="A1827" i="34"/>
  <c r="A1832" i="34"/>
  <c r="A1833" i="34"/>
  <c r="A1814" i="34"/>
  <c r="A1828" i="34"/>
  <c r="A1830" i="34"/>
  <c r="A1836" i="34"/>
  <c r="A1837" i="34"/>
  <c r="A1855" i="34"/>
  <c r="A1858" i="34"/>
  <c r="A1851" i="34"/>
  <c r="A1854" i="34"/>
  <c r="A1859" i="34"/>
  <c r="A1853" i="34"/>
  <c r="A1857" i="34"/>
  <c r="A1935" i="34"/>
  <c r="A1934" i="34"/>
  <c r="A1812" i="34"/>
  <c r="A1803" i="34"/>
  <c r="A1810" i="34"/>
  <c r="A1807" i="34"/>
  <c r="A1780" i="34"/>
  <c r="A1806" i="34"/>
  <c r="A1769" i="34"/>
  <c r="A1802" i="34"/>
  <c r="A1797" i="34"/>
  <c r="A1795" i="34"/>
  <c r="A1779" i="34"/>
  <c r="A1770" i="34"/>
  <c r="A1798" i="34"/>
  <c r="A1764" i="34"/>
  <c r="A1778" i="34"/>
  <c r="A1801" i="34"/>
  <c r="A1793" i="34"/>
  <c r="A1765" i="34"/>
  <c r="A1794" i="34"/>
  <c r="A1805" i="34"/>
  <c r="A1809" i="34"/>
  <c r="A1804" i="34"/>
  <c r="A1808" i="34"/>
  <c r="A1813" i="34"/>
  <c r="A1811" i="34"/>
  <c r="A12" i="79"/>
  <c r="A13" i="79"/>
  <c r="A14" i="79"/>
  <c r="A15" i="79"/>
  <c r="A16" i="79"/>
  <c r="A17" i="79"/>
  <c r="A18" i="79"/>
  <c r="A19" i="79"/>
  <c r="A20" i="79"/>
  <c r="C1712" i="34"/>
  <c r="B1712" i="34" s="1"/>
  <c r="C1695" i="34"/>
  <c r="B1695" i="34" s="1"/>
  <c r="C1694" i="34"/>
  <c r="B1694" i="34" s="1"/>
  <c r="C1688" i="34"/>
  <c r="B1688" i="34" s="1"/>
  <c r="C1687" i="34"/>
  <c r="B1687" i="34" s="1"/>
  <c r="C1667" i="34"/>
  <c r="B1667" i="34" s="1"/>
  <c r="C1666" i="34"/>
  <c r="B1666" i="34" s="1"/>
  <c r="C1634" i="34"/>
  <c r="B1634" i="34" s="1"/>
  <c r="C1633" i="34"/>
  <c r="B1633" i="34" s="1"/>
  <c r="C1632" i="34"/>
  <c r="B1632" i="34" s="1"/>
  <c r="C1620" i="34"/>
  <c r="B1620" i="34" s="1"/>
  <c r="A1632" i="34" l="1"/>
  <c r="A1667" i="34"/>
  <c r="A1695" i="34"/>
  <c r="A1633" i="34"/>
  <c r="A1712" i="34"/>
  <c r="A1687" i="34"/>
  <c r="A1688" i="34"/>
  <c r="A1634" i="34"/>
  <c r="A1620" i="34"/>
  <c r="A1666" i="34"/>
  <c r="A1694" i="34"/>
  <c r="C1612" i="34"/>
  <c r="B1612" i="34" s="1"/>
  <c r="C1607" i="34"/>
  <c r="B1607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20" i="34"/>
  <c r="B1820" i="34" s="1"/>
  <c r="C1819" i="34"/>
  <c r="B1819" i="34" s="1"/>
  <c r="C1818" i="34"/>
  <c r="B1818" i="34" s="1"/>
  <c r="C1817" i="34"/>
  <c r="B1817" i="34" s="1"/>
  <c r="C1800" i="34"/>
  <c r="B1800" i="34" s="1"/>
  <c r="C1613" i="34"/>
  <c r="B1613" i="34" s="1"/>
  <c r="C1821" i="34"/>
  <c r="B1821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7" i="34"/>
  <c r="B1707" i="34" s="1"/>
  <c r="C1706" i="34"/>
  <c r="B1706" i="34" s="1"/>
  <c r="C1705" i="34"/>
  <c r="B1705" i="34" s="1"/>
  <c r="C1680" i="34"/>
  <c r="B1680" i="34" s="1"/>
  <c r="C1665" i="34"/>
  <c r="B1665" i="34" s="1"/>
  <c r="C1611" i="34"/>
  <c r="B1611" i="34" s="1"/>
  <c r="C1610" i="34"/>
  <c r="B1610" i="34" s="1"/>
  <c r="C1609" i="34"/>
  <c r="B1609" i="34" s="1"/>
  <c r="C1608" i="34"/>
  <c r="B1608" i="34" s="1"/>
  <c r="C1599" i="34"/>
  <c r="B1599" i="34" s="1"/>
  <c r="C1598" i="34"/>
  <c r="B1598" i="34" s="1"/>
  <c r="C1597" i="34"/>
  <c r="B1597" i="34" s="1"/>
  <c r="C1773" i="34"/>
  <c r="B1773" i="34" s="1"/>
  <c r="C1772" i="34"/>
  <c r="B1772" i="34" s="1"/>
  <c r="C1771" i="34"/>
  <c r="B177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11" i="34"/>
  <c r="B1711" i="34" s="1"/>
  <c r="C1710" i="34"/>
  <c r="B1710" i="34" s="1"/>
  <c r="C1709" i="34"/>
  <c r="B1709" i="34" s="1"/>
  <c r="C1527" i="34"/>
  <c r="B1527" i="34" s="1"/>
  <c r="C1526" i="34"/>
  <c r="B1526" i="34" s="1"/>
  <c r="C1928" i="34"/>
  <c r="B1928" i="34" s="1"/>
  <c r="C1796" i="34"/>
  <c r="B1796" i="34" s="1"/>
  <c r="C1775" i="34"/>
  <c r="B1775" i="34" s="1"/>
  <c r="C1774" i="34"/>
  <c r="B1774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32" i="34"/>
  <c r="B1732" i="34" s="1"/>
  <c r="C1724" i="34"/>
  <c r="B1724" i="34" s="1"/>
  <c r="C1708" i="34"/>
  <c r="B1708" i="34" s="1"/>
  <c r="C1704" i="34"/>
  <c r="B1704" i="34" s="1"/>
  <c r="C1679" i="34"/>
  <c r="B1679" i="34" s="1"/>
  <c r="C1664" i="34"/>
  <c r="B1664" i="34" s="1"/>
  <c r="C1650" i="34"/>
  <c r="B1650" i="34" s="1"/>
  <c r="C1606" i="34"/>
  <c r="B1606" i="34" s="1"/>
  <c r="C1903" i="34"/>
  <c r="B1903" i="34" s="1"/>
  <c r="C1781" i="34"/>
  <c r="B1781" i="34" s="1"/>
  <c r="C1734" i="34"/>
  <c r="B1734" i="34" s="1"/>
  <c r="C1733" i="34"/>
  <c r="B1733" i="34" s="1"/>
  <c r="C1907" i="34"/>
  <c r="B190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8" i="34"/>
  <c r="B1588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A1737" i="34" l="1"/>
  <c r="A1772" i="34"/>
  <c r="A1706" i="34"/>
  <c r="A1819" i="34"/>
  <c r="A1607" i="34"/>
  <c r="A1612" i="34"/>
  <c r="A1548" i="34"/>
  <c r="A1550" i="34"/>
  <c r="A1551" i="34"/>
  <c r="A1567" i="34"/>
  <c r="A1569" i="34"/>
  <c r="A1570" i="34"/>
  <c r="A1571" i="34"/>
  <c r="A1549" i="34"/>
  <c r="A1568" i="34"/>
  <c r="A1572" i="34"/>
  <c r="A1820" i="34"/>
  <c r="A1613" i="34"/>
  <c r="A1800" i="34"/>
  <c r="A1817" i="34"/>
  <c r="A1818" i="34"/>
  <c r="A1821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74" i="34"/>
  <c r="A1526" i="34"/>
  <c r="A1710" i="34"/>
  <c r="A1705" i="34"/>
  <c r="A1711" i="34"/>
  <c r="A1738" i="34"/>
  <c r="A1771" i="34"/>
  <c r="A1582" i="34"/>
  <c r="A1460" i="34"/>
  <c r="A1608" i="34"/>
  <c r="A1665" i="34"/>
  <c r="A1707" i="34"/>
  <c r="A1598" i="34"/>
  <c r="A1610" i="34"/>
  <c r="A1597" i="34"/>
  <c r="A1609" i="34"/>
  <c r="A1680" i="34"/>
  <c r="A1599" i="34"/>
  <c r="A1611" i="34"/>
  <c r="A1739" i="34"/>
  <c r="A1773" i="34"/>
  <c r="A1735" i="34"/>
  <c r="A1709" i="34"/>
  <c r="A1736" i="34"/>
  <c r="A1740" i="34"/>
  <c r="A1527" i="34"/>
  <c r="A1775" i="34"/>
  <c r="A1796" i="34"/>
  <c r="A192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81" i="34"/>
  <c r="A1734" i="34"/>
  <c r="A1724" i="34"/>
  <c r="A1664" i="34"/>
  <c r="A1704" i="34"/>
  <c r="A1732" i="34"/>
  <c r="A1606" i="34"/>
  <c r="A1679" i="34"/>
  <c r="A1650" i="34"/>
  <c r="A1708" i="34"/>
  <c r="A1903" i="34"/>
  <c r="A1733" i="34"/>
  <c r="A190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8" i="34"/>
  <c r="A1529" i="34"/>
  <c r="A1581" i="34"/>
  <c r="A1530" i="34"/>
  <c r="N19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A1381" i="34" l="1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57" i="34" l="1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6" i="34"/>
  <c r="K1977" i="34"/>
  <c r="K1978" i="34"/>
  <c r="K1979" i="34"/>
  <c r="K1980" i="34"/>
  <c r="K1981" i="34"/>
  <c r="K1982" i="34"/>
  <c r="K1983" i="34"/>
  <c r="K1984" i="34"/>
  <c r="K1985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1956" i="34"/>
  <c r="K1947" i="34"/>
  <c r="K1948" i="34"/>
  <c r="K1949" i="34"/>
  <c r="K1950" i="34"/>
  <c r="K1951" i="34"/>
  <c r="K1952" i="34"/>
  <c r="K1953" i="34"/>
  <c r="K1954" i="34"/>
  <c r="K1955" i="34"/>
  <c r="K1946" i="34"/>
  <c r="B35" i="55"/>
  <c r="A35" i="55" s="1"/>
  <c r="AC1761" i="34"/>
  <c r="AC1759" i="34"/>
  <c r="AC1758" i="34"/>
  <c r="AC1757" i="34"/>
  <c r="AC1755" i="34"/>
  <c r="AC1749" i="34"/>
  <c r="AC1748" i="34"/>
  <c r="AC1746" i="34"/>
  <c r="AC1745" i="34"/>
  <c r="AC1743" i="34"/>
  <c r="AC1742" i="34"/>
  <c r="AC1730" i="34"/>
  <c r="AC1729" i="34"/>
  <c r="AC1727" i="34"/>
  <c r="AC1722" i="34"/>
  <c r="AC1720" i="34"/>
  <c r="AC1702" i="34"/>
  <c r="AC1700" i="34"/>
  <c r="AC1699" i="34"/>
  <c r="AC1698" i="34"/>
  <c r="AC1696" i="34"/>
  <c r="AC1685" i="34"/>
  <c r="AC1684" i="34"/>
  <c r="AC1683" i="34"/>
  <c r="AC1681" i="34"/>
  <c r="AC1677" i="34"/>
  <c r="AC1675" i="34"/>
  <c r="AC1674" i="34"/>
  <c r="AC1673" i="34"/>
  <c r="AC1672" i="34"/>
  <c r="AC1670" i="34"/>
  <c r="AC1662" i="34"/>
  <c r="AC1661" i="34"/>
  <c r="AC1659" i="34"/>
  <c r="AC1658" i="34"/>
  <c r="AC1657" i="34"/>
  <c r="AC1655" i="34"/>
  <c r="AC1654" i="34"/>
  <c r="AC1653" i="34"/>
  <c r="AC1652" i="34"/>
  <c r="AC1651" i="34"/>
  <c r="AC1637" i="34"/>
  <c r="AC1636" i="34"/>
  <c r="AC1635" i="34"/>
  <c r="AC1630" i="34"/>
  <c r="AC1628" i="34"/>
  <c r="AC1627" i="34"/>
  <c r="AC1626" i="34"/>
  <c r="AC1625" i="34"/>
  <c r="AC1624" i="34"/>
  <c r="AC1623" i="34"/>
  <c r="AC1622" i="34"/>
  <c r="AC1621" i="34"/>
  <c r="AC1604" i="34"/>
  <c r="AC1600" i="34"/>
  <c r="AC1595" i="34"/>
  <c r="AC1594" i="34"/>
  <c r="AC1590" i="34"/>
  <c r="AC1589" i="34"/>
  <c r="AC1584" i="34"/>
  <c r="AC1583" i="34"/>
  <c r="AC1574" i="34"/>
  <c r="AC1573" i="34"/>
  <c r="AC1565" i="34"/>
  <c r="AC1563" i="34"/>
  <c r="AC1562" i="34"/>
  <c r="AC1561" i="34"/>
  <c r="AC1559" i="34"/>
  <c r="AC1558" i="34"/>
  <c r="AC1557" i="34"/>
  <c r="AC1556" i="34"/>
  <c r="AC1555" i="34"/>
  <c r="AC1554" i="34"/>
  <c r="AC1553" i="34"/>
  <c r="AC1552" i="34"/>
  <c r="AC1546" i="34"/>
  <c r="AC1545" i="34"/>
  <c r="AC1543" i="34"/>
  <c r="AC1541" i="34"/>
  <c r="AC1540" i="34"/>
  <c r="AC1538" i="34"/>
  <c r="AC1537" i="34"/>
  <c r="AC1536" i="34"/>
  <c r="AC1534" i="34"/>
  <c r="AC1533" i="34"/>
  <c r="AC1531" i="34"/>
  <c r="AC1515" i="34"/>
  <c r="AC1513" i="34"/>
  <c r="AC1512" i="34"/>
  <c r="AC1499" i="34"/>
  <c r="AC1483" i="34"/>
  <c r="AC1482" i="34"/>
  <c r="AC1481" i="34"/>
  <c r="AC1480" i="34"/>
  <c r="AC1479" i="34"/>
  <c r="AC1478" i="34"/>
  <c r="AC1477" i="34"/>
  <c r="AC1475" i="34"/>
  <c r="AC1468" i="34"/>
  <c r="AC1467" i="34"/>
  <c r="AC1406" i="34"/>
  <c r="AC1397" i="34"/>
  <c r="AC1395" i="34"/>
  <c r="AC1374" i="34"/>
  <c r="AC1372" i="34"/>
  <c r="AC1370" i="34"/>
  <c r="AC1369" i="34"/>
  <c r="AC1368" i="34"/>
  <c r="AC1367" i="34"/>
  <c r="AC1347" i="34"/>
  <c r="AC1346" i="34"/>
  <c r="AC1341" i="34"/>
  <c r="AC1260" i="34"/>
  <c r="AC1259" i="34"/>
  <c r="AC1257" i="34"/>
  <c r="AC1256" i="34"/>
  <c r="AC1255" i="34"/>
  <c r="AC1254" i="34"/>
  <c r="AC1253" i="34"/>
  <c r="AC1244" i="34"/>
  <c r="AC1242" i="34"/>
  <c r="AC1241" i="34"/>
  <c r="AC1234" i="34"/>
  <c r="AC1232" i="34"/>
  <c r="AC1231" i="34"/>
  <c r="AC1230" i="34"/>
  <c r="AC1227" i="34"/>
  <c r="AC1200" i="34"/>
  <c r="AC1199" i="34"/>
  <c r="AC1197" i="34"/>
  <c r="AC1196" i="34"/>
  <c r="AC1195" i="34"/>
  <c r="AC1194" i="34"/>
  <c r="AC1192" i="34"/>
  <c r="AC1190" i="34"/>
  <c r="AC1188" i="34"/>
  <c r="AC1186" i="34"/>
  <c r="AC1185" i="34"/>
  <c r="AC1184" i="34"/>
  <c r="AC1183" i="34"/>
  <c r="AC1182" i="34"/>
  <c r="AC1180" i="34"/>
  <c r="AC1178" i="34"/>
  <c r="AC1177" i="34"/>
  <c r="AC1176" i="34"/>
  <c r="AC1174" i="34"/>
  <c r="AC1173" i="34"/>
  <c r="AC1172" i="34"/>
  <c r="AC1170" i="34"/>
  <c r="AC1169" i="34"/>
  <c r="AC1168" i="34"/>
  <c r="AC1166" i="34"/>
  <c r="AC1164" i="34"/>
  <c r="AC1163" i="34"/>
  <c r="AC1159" i="34"/>
  <c r="AC1157" i="34"/>
  <c r="AC1153" i="34"/>
  <c r="AC1152" i="34"/>
  <c r="AC1148" i="34"/>
  <c r="AC1137" i="34"/>
  <c r="AC1136" i="34"/>
  <c r="AC1134" i="34"/>
  <c r="AC1133" i="34"/>
  <c r="AC1131" i="34"/>
  <c r="AC1130" i="34"/>
  <c r="AC1129" i="34"/>
  <c r="AC1122" i="34"/>
  <c r="AC1120" i="34"/>
  <c r="AC1119" i="34"/>
  <c r="AC1118" i="34"/>
  <c r="AC1117" i="34"/>
  <c r="AC1100" i="34"/>
  <c r="AC1098" i="34"/>
  <c r="AC1096" i="34"/>
  <c r="AC1095" i="34"/>
  <c r="AC1094" i="34"/>
  <c r="AC1093" i="34"/>
  <c r="AC1087" i="34"/>
  <c r="AC1084" i="34"/>
  <c r="AC1083" i="34"/>
  <c r="AC1077" i="34"/>
  <c r="AC1076" i="34"/>
  <c r="AC1074" i="34"/>
  <c r="AC1073" i="34"/>
  <c r="AC1072" i="34"/>
  <c r="AC1070" i="34"/>
  <c r="AC1068" i="34"/>
  <c r="AC1067" i="34"/>
  <c r="AC1063" i="34"/>
  <c r="AC1061" i="34"/>
  <c r="AC1059" i="34"/>
  <c r="AC1033" i="34"/>
  <c r="AC1031" i="34"/>
  <c r="AC1030" i="34"/>
  <c r="AC1028" i="34"/>
  <c r="AC1027" i="34"/>
  <c r="AC1026" i="34"/>
  <c r="AC1025" i="34"/>
  <c r="AC1024" i="34"/>
  <c r="AC1023" i="34"/>
  <c r="AC1022" i="34"/>
  <c r="AC1021" i="34"/>
  <c r="AC1020" i="34"/>
  <c r="AC1018" i="34"/>
  <c r="AC1016" i="34"/>
  <c r="AC1015" i="34"/>
  <c r="AC1000" i="34"/>
  <c r="AC999" i="34"/>
  <c r="AC998" i="34"/>
  <c r="AC996" i="34"/>
  <c r="AC994" i="34"/>
  <c r="AC993" i="34"/>
  <c r="AC991" i="34"/>
  <c r="AC990" i="34"/>
  <c r="AC988" i="34"/>
  <c r="AC978" i="34"/>
  <c r="AC973" i="34"/>
  <c r="AC971" i="34"/>
  <c r="AC970" i="34"/>
  <c r="AC969" i="34"/>
  <c r="AC968" i="34"/>
  <c r="AC967" i="34"/>
  <c r="AC966" i="34"/>
  <c r="AC965" i="34"/>
  <c r="AC964" i="34"/>
  <c r="AC963" i="34"/>
  <c r="AC943" i="34"/>
  <c r="AC942" i="34"/>
  <c r="AC941" i="34"/>
  <c r="AC940" i="34"/>
  <c r="AC939" i="34"/>
  <c r="AC937" i="34"/>
  <c r="AC935" i="34"/>
  <c r="AC933" i="34"/>
  <c r="AC932" i="34"/>
  <c r="AC931" i="34"/>
  <c r="AC929" i="34"/>
  <c r="AC928" i="34"/>
  <c r="AC926" i="34"/>
  <c r="AC925" i="34"/>
  <c r="AC924" i="34"/>
  <c r="AC923" i="34"/>
  <c r="AC921" i="34"/>
  <c r="AC920" i="34"/>
  <c r="AC919" i="34"/>
  <c r="AC918" i="34"/>
  <c r="AC901" i="34"/>
  <c r="AC899" i="34"/>
  <c r="AC898" i="34"/>
  <c r="AC897" i="34"/>
  <c r="AC895" i="34"/>
  <c r="AC894" i="34"/>
  <c r="AC893" i="34"/>
  <c r="AC891" i="34"/>
  <c r="AC890" i="34"/>
  <c r="AC889" i="34"/>
  <c r="AC877" i="34"/>
  <c r="AC876" i="34"/>
  <c r="AC875" i="34"/>
  <c r="AC874" i="34"/>
  <c r="AC873" i="34"/>
  <c r="AC872" i="34"/>
  <c r="AC871" i="34"/>
  <c r="AC870" i="34"/>
  <c r="AC868" i="34"/>
  <c r="AC867" i="34"/>
  <c r="AC866" i="34"/>
  <c r="AC865" i="34"/>
  <c r="AC864" i="34"/>
  <c r="AC858" i="34"/>
  <c r="AC857" i="34"/>
  <c r="AC856" i="34"/>
  <c r="AC855" i="34"/>
  <c r="AC853" i="34"/>
  <c r="AC852" i="34"/>
  <c r="AC850" i="34"/>
  <c r="AC849" i="34"/>
  <c r="AC848" i="34"/>
  <c r="AC847" i="34"/>
  <c r="AC846" i="34"/>
  <c r="AC845" i="34"/>
  <c r="AC844" i="34"/>
  <c r="AC843" i="34"/>
  <c r="AC842" i="34"/>
  <c r="AC839" i="34"/>
  <c r="AC838" i="34"/>
  <c r="AC837" i="34"/>
  <c r="AC836" i="34"/>
  <c r="AC835" i="34"/>
  <c r="AC834" i="34"/>
  <c r="AC833" i="34"/>
  <c r="AC832" i="34"/>
  <c r="AC831" i="34"/>
  <c r="AC829" i="34"/>
  <c r="AC828" i="34"/>
  <c r="AC827" i="34"/>
  <c r="AC826" i="34"/>
  <c r="AC825" i="34"/>
  <c r="AC824" i="34"/>
  <c r="AC823" i="34"/>
  <c r="AC822" i="34"/>
  <c r="AC819" i="34"/>
  <c r="AC812" i="34"/>
  <c r="AC811" i="34"/>
  <c r="AC809" i="34"/>
  <c r="AC792" i="34"/>
  <c r="AC791" i="34"/>
  <c r="AC790" i="34"/>
  <c r="AC788" i="34"/>
  <c r="AC785" i="34"/>
  <c r="AC773" i="34"/>
  <c r="AC771" i="34"/>
  <c r="AC770" i="34"/>
  <c r="AC769" i="34"/>
  <c r="AC764" i="34"/>
  <c r="AC763" i="34"/>
  <c r="AC762" i="34"/>
  <c r="AC761" i="34"/>
  <c r="AC759" i="34"/>
  <c r="AC758" i="34"/>
  <c r="AC757" i="34"/>
  <c r="AC752" i="34"/>
  <c r="AC751" i="34"/>
  <c r="AC749" i="34"/>
  <c r="AC743" i="34"/>
  <c r="AC742" i="34"/>
  <c r="AC737" i="34"/>
  <c r="AC736" i="34"/>
  <c r="AC735" i="34"/>
  <c r="AC733" i="34"/>
  <c r="AC732" i="34"/>
  <c r="AC719" i="34"/>
  <c r="AC717" i="34"/>
  <c r="AC711" i="34"/>
  <c r="AC710" i="34"/>
  <c r="AC709" i="34"/>
  <c r="AC707" i="34"/>
  <c r="AC706" i="34"/>
  <c r="AC695" i="34"/>
  <c r="AC694" i="34"/>
  <c r="AC691" i="34"/>
  <c r="AC690" i="34"/>
  <c r="AC689" i="34"/>
  <c r="AC687" i="34"/>
  <c r="AC686" i="34"/>
  <c r="AC684" i="34"/>
  <c r="AC683" i="34"/>
  <c r="AC681" i="34"/>
  <c r="AC680" i="34"/>
  <c r="AC678" i="34"/>
  <c r="AC677" i="34"/>
  <c r="AC676" i="34"/>
  <c r="AC664" i="34"/>
  <c r="AC662" i="34"/>
  <c r="AC660" i="34"/>
  <c r="AC658" i="34"/>
  <c r="AC657" i="34"/>
  <c r="AC656" i="34"/>
  <c r="AC655" i="34"/>
  <c r="AC653" i="34"/>
  <c r="AC652" i="34"/>
  <c r="AC650" i="34"/>
  <c r="AC649" i="34"/>
  <c r="AC641" i="34"/>
  <c r="AC640" i="34"/>
  <c r="AC639" i="34"/>
  <c r="AC637" i="34"/>
  <c r="AC636" i="34"/>
  <c r="AC635" i="34"/>
  <c r="AC629" i="34"/>
  <c r="AC605" i="34"/>
  <c r="AC603" i="34"/>
  <c r="AC601" i="34"/>
  <c r="AC599" i="34"/>
  <c r="AC597" i="34"/>
  <c r="AC592" i="34"/>
  <c r="AC591" i="34"/>
  <c r="AC589" i="34"/>
  <c r="AC587" i="34"/>
  <c r="AC583" i="34"/>
  <c r="AC582" i="34"/>
  <c r="AC581" i="34"/>
  <c r="AC579" i="34"/>
  <c r="AC577" i="34"/>
  <c r="AC576" i="34"/>
  <c r="AC574" i="34"/>
  <c r="AC573" i="34"/>
  <c r="AC572" i="34"/>
  <c r="AC570" i="34"/>
  <c r="AC568" i="34"/>
  <c r="AC560" i="34"/>
  <c r="AC554" i="34"/>
  <c r="AC552" i="34"/>
  <c r="AC550" i="34"/>
  <c r="AC540" i="34"/>
  <c r="AC539" i="34"/>
  <c r="AC537" i="34"/>
  <c r="AC536" i="34"/>
  <c r="AC534" i="34"/>
  <c r="AC522" i="34"/>
  <c r="AC521" i="34"/>
  <c r="AC519" i="34"/>
  <c r="AC517" i="34"/>
  <c r="AC516" i="34"/>
  <c r="AC514" i="34"/>
  <c r="AC513" i="34"/>
  <c r="AC507" i="34"/>
  <c r="AC505" i="34"/>
  <c r="AC498" i="34"/>
  <c r="AC497" i="34"/>
  <c r="AC481" i="34"/>
  <c r="AC479" i="34"/>
  <c r="AC474" i="34"/>
  <c r="AC473" i="34"/>
  <c r="AC471" i="34"/>
  <c r="AC469" i="34"/>
  <c r="AC462" i="34"/>
  <c r="AC461" i="34"/>
  <c r="AC460" i="34"/>
  <c r="AC459" i="34"/>
  <c r="AC458" i="34"/>
  <c r="AC457" i="34"/>
  <c r="AC456" i="34"/>
  <c r="AC454" i="34"/>
  <c r="AC452" i="34"/>
  <c r="AC451" i="34"/>
  <c r="AC450" i="34"/>
  <c r="AC449" i="34"/>
  <c r="AC439" i="34"/>
  <c r="AC437" i="34"/>
  <c r="AC436" i="34"/>
  <c r="AC434" i="34"/>
  <c r="AC432" i="34"/>
  <c r="AC430" i="34"/>
  <c r="AC429" i="34"/>
  <c r="AC428" i="34"/>
  <c r="AC427" i="34"/>
  <c r="AC425" i="34"/>
  <c r="AC424" i="34"/>
  <c r="AC423" i="34"/>
  <c r="AC422" i="34"/>
  <c r="AC421" i="34"/>
  <c r="AC420" i="34"/>
  <c r="AC419" i="34"/>
  <c r="AC415" i="34"/>
  <c r="AC414" i="34"/>
  <c r="AC413" i="34"/>
  <c r="AC412" i="34"/>
  <c r="AC411" i="34"/>
  <c r="AC410" i="34"/>
  <c r="AC409" i="34"/>
  <c r="AC407" i="34"/>
  <c r="AC406" i="34"/>
  <c r="AC405" i="34"/>
  <c r="AC404" i="34"/>
  <c r="AC401" i="34"/>
  <c r="AC400" i="34"/>
  <c r="AC399" i="34"/>
  <c r="AC398" i="34"/>
  <c r="AC397" i="34"/>
  <c r="AC396" i="34"/>
  <c r="AC394" i="34"/>
  <c r="AC393" i="34"/>
  <c r="AC392" i="34"/>
  <c r="AC390" i="34"/>
  <c r="AC383" i="34"/>
  <c r="AC382" i="34"/>
  <c r="AC381" i="34"/>
  <c r="AC379" i="34"/>
  <c r="AC378" i="34"/>
  <c r="AC376" i="34"/>
  <c r="AC374" i="34"/>
  <c r="AC369" i="34"/>
  <c r="AC368" i="34"/>
  <c r="AC367" i="34"/>
  <c r="AC366" i="34"/>
  <c r="AC361" i="34"/>
  <c r="AC344" i="34"/>
  <c r="AC343" i="34"/>
  <c r="AC342" i="34"/>
  <c r="AC328" i="34"/>
  <c r="AC327" i="34"/>
  <c r="AC326" i="34"/>
  <c r="AC325" i="34"/>
  <c r="AC324" i="34"/>
  <c r="AC323" i="34"/>
  <c r="AC317" i="34"/>
  <c r="AC315" i="34"/>
  <c r="AC314" i="34"/>
  <c r="AC311" i="34"/>
  <c r="AC309" i="34"/>
  <c r="AC307" i="34"/>
  <c r="AC303" i="34"/>
  <c r="AC301" i="34"/>
  <c r="AC300" i="34"/>
  <c r="AC298" i="34"/>
  <c r="AC297" i="34"/>
  <c r="AC296" i="34"/>
  <c r="AC295" i="34"/>
  <c r="AC294" i="34"/>
  <c r="AC292" i="34"/>
  <c r="AC291" i="34"/>
  <c r="AC290" i="34"/>
  <c r="AC289" i="34"/>
  <c r="AC279" i="34"/>
  <c r="AC278" i="34"/>
  <c r="AC277" i="34"/>
  <c r="AC276" i="34"/>
  <c r="AC274" i="34"/>
  <c r="AC272" i="34"/>
  <c r="AC270" i="34"/>
  <c r="AC269" i="34"/>
  <c r="AC268" i="34"/>
  <c r="AC266" i="34"/>
  <c r="AC265" i="34"/>
  <c r="AC263" i="34"/>
  <c r="AC262" i="34"/>
  <c r="AC261" i="34"/>
  <c r="AC260" i="34"/>
  <c r="AC258" i="34"/>
  <c r="AC257" i="34"/>
  <c r="AC256" i="34"/>
  <c r="AC246" i="34"/>
  <c r="AC245" i="34"/>
  <c r="AC244" i="34"/>
  <c r="AC243" i="34"/>
  <c r="AC242" i="34"/>
  <c r="AC241" i="34"/>
  <c r="AC240" i="34"/>
  <c r="AC239" i="34"/>
  <c r="AC238" i="34"/>
  <c r="AC236" i="34"/>
  <c r="AC235" i="34"/>
  <c r="AC234" i="34"/>
  <c r="AC233" i="34"/>
  <c r="AC232" i="34"/>
  <c r="AC231" i="34"/>
  <c r="AC230" i="34"/>
  <c r="AC229" i="34"/>
  <c r="AC227" i="34"/>
  <c r="AC226" i="34"/>
  <c r="AC225" i="34"/>
  <c r="AC223" i="34"/>
  <c r="AC222" i="34"/>
  <c r="AC218" i="34"/>
  <c r="AC212" i="34"/>
  <c r="AC211" i="34"/>
  <c r="AC210" i="34"/>
  <c r="AC209" i="34"/>
  <c r="AC208" i="34"/>
  <c r="AC207" i="34"/>
  <c r="AC206" i="34"/>
  <c r="AC205" i="34"/>
  <c r="AC204" i="34"/>
  <c r="AC203" i="34"/>
  <c r="AC201" i="34"/>
  <c r="AC200" i="34"/>
  <c r="AC199" i="34"/>
  <c r="AC188" i="34"/>
  <c r="AC185" i="34"/>
  <c r="AC183" i="34"/>
  <c r="AC182" i="34"/>
  <c r="AC181" i="34"/>
  <c r="AC180" i="34"/>
  <c r="AC176" i="34"/>
  <c r="AC174" i="34"/>
  <c r="AC172" i="34"/>
  <c r="AC171" i="34"/>
  <c r="AC170" i="34"/>
  <c r="AC169" i="34"/>
  <c r="AC168" i="34"/>
  <c r="AC167" i="34"/>
  <c r="AC166" i="34"/>
  <c r="AC165" i="34"/>
  <c r="AC160" i="34"/>
  <c r="AC159" i="34"/>
  <c r="AC158" i="34"/>
  <c r="AC156" i="34"/>
  <c r="AC152" i="34"/>
  <c r="AC151" i="34"/>
  <c r="AC150" i="34"/>
  <c r="AC149" i="34"/>
  <c r="AC148" i="34"/>
  <c r="AC147" i="34"/>
  <c r="AC146" i="34"/>
  <c r="AC145" i="34"/>
  <c r="AC143" i="34"/>
  <c r="AC142" i="34"/>
  <c r="AC140" i="34"/>
  <c r="AC138" i="34"/>
  <c r="AC137" i="34"/>
  <c r="AC136" i="34"/>
  <c r="AC135" i="34"/>
  <c r="AC133" i="34"/>
  <c r="AC131" i="34"/>
  <c r="AC130" i="34"/>
  <c r="AC128" i="34"/>
  <c r="AC127" i="34"/>
  <c r="AC125" i="34"/>
  <c r="AC121" i="34"/>
  <c r="AC115" i="34"/>
  <c r="AC110" i="34"/>
  <c r="AC109" i="34"/>
  <c r="AC108" i="34"/>
  <c r="AC106" i="34"/>
  <c r="AC105" i="34"/>
  <c r="AC104" i="34"/>
  <c r="AC103" i="34"/>
  <c r="AC102" i="34"/>
  <c r="AC101" i="34"/>
  <c r="AC100" i="34"/>
  <c r="AC99" i="34"/>
  <c r="AC98" i="34"/>
  <c r="AC97" i="34"/>
  <c r="AC95" i="34"/>
  <c r="AC94" i="34"/>
  <c r="AC93" i="34"/>
  <c r="AC92" i="34"/>
  <c r="AC91" i="34"/>
  <c r="AC90" i="34"/>
  <c r="AC89" i="34"/>
  <c r="AC88" i="34"/>
  <c r="AC87" i="34"/>
  <c r="AC86" i="34"/>
  <c r="AC84" i="34"/>
  <c r="AC82" i="34"/>
  <c r="AC78" i="34"/>
  <c r="AC77" i="34"/>
  <c r="AC76" i="34"/>
  <c r="AC75" i="34"/>
  <c r="AC74" i="34"/>
  <c r="AC72" i="34"/>
  <c r="AC71" i="34"/>
  <c r="AC68" i="34"/>
  <c r="AC66" i="34"/>
  <c r="AC65" i="34"/>
  <c r="K1944" i="34"/>
  <c r="C1944" i="34"/>
  <c r="B1944" i="34" s="1"/>
  <c r="K1943" i="34"/>
  <c r="C1943" i="34"/>
  <c r="B1943" i="34" s="1"/>
  <c r="B36" i="55" l="1"/>
  <c r="B37" i="55" s="1"/>
  <c r="A37" i="55" s="1"/>
  <c r="A1943" i="34"/>
  <c r="A1944" i="34"/>
  <c r="K24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A39" i="55"/>
  <c r="Y29" i="34"/>
  <c r="Z29" i="34"/>
  <c r="Y32" i="34"/>
  <c r="Z32" i="34"/>
  <c r="Y41" i="34"/>
  <c r="Z41" i="34"/>
  <c r="Z50" i="34"/>
  <c r="Y50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Z38" i="34"/>
  <c r="Y38" i="34"/>
  <c r="Y53" i="34"/>
  <c r="Z53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32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9" i="34"/>
  <c r="K1471" i="34"/>
  <c r="K1470" i="34"/>
  <c r="K1523" i="34"/>
  <c r="K1522" i="34"/>
  <c r="K44" i="34" l="1"/>
  <c r="K41" i="34"/>
  <c r="A52" i="70"/>
  <c r="A53" i="70"/>
  <c r="A54" i="70"/>
  <c r="K1720" i="34"/>
  <c r="K1722" i="34"/>
  <c r="K1727" i="34"/>
  <c r="K1729" i="34"/>
  <c r="K1730" i="34"/>
  <c r="K1742" i="34"/>
  <c r="K1743" i="34"/>
  <c r="K1745" i="34"/>
  <c r="K1746" i="34"/>
  <c r="K1748" i="34"/>
  <c r="K1749" i="34"/>
  <c r="K1751" i="34"/>
  <c r="K1752" i="34"/>
  <c r="K1753" i="34"/>
  <c r="K1755" i="34"/>
  <c r="K1757" i="34"/>
  <c r="K1758" i="34"/>
  <c r="K1759" i="34"/>
  <c r="K1761" i="34"/>
  <c r="C18" i="34"/>
  <c r="B18" i="34" s="1"/>
  <c r="D49" i="15"/>
  <c r="G49" i="15"/>
  <c r="H49" i="15"/>
  <c r="C49" i="15"/>
  <c r="K1651" i="34"/>
  <c r="K1652" i="34"/>
  <c r="K1653" i="34"/>
  <c r="K1654" i="34"/>
  <c r="K1655" i="34"/>
  <c r="K1657" i="34"/>
  <c r="K1658" i="34"/>
  <c r="K1659" i="34"/>
  <c r="K1661" i="34"/>
  <c r="K1662" i="34"/>
  <c r="K1670" i="34"/>
  <c r="K1672" i="34"/>
  <c r="K1673" i="34"/>
  <c r="K1674" i="34"/>
  <c r="K1675" i="34"/>
  <c r="K1677" i="34"/>
  <c r="K1681" i="34"/>
  <c r="K1683" i="34"/>
  <c r="K1684" i="34"/>
  <c r="K1685" i="34"/>
  <c r="K1696" i="34"/>
  <c r="K1698" i="34"/>
  <c r="K1699" i="34"/>
  <c r="K1700" i="34"/>
  <c r="K1702" i="34"/>
  <c r="K50" i="34" l="1"/>
  <c r="K47" i="34"/>
  <c r="A18" i="34"/>
  <c r="K1592" i="34"/>
  <c r="K1594" i="34"/>
  <c r="K1595" i="34"/>
  <c r="K1600" i="34"/>
  <c r="K1602" i="34"/>
  <c r="K1604" i="34"/>
  <c r="K1621" i="34"/>
  <c r="K1622" i="34"/>
  <c r="K1623" i="34"/>
  <c r="K1624" i="34"/>
  <c r="K1625" i="34"/>
  <c r="K1626" i="34"/>
  <c r="K1627" i="34"/>
  <c r="K1628" i="34"/>
  <c r="K1630" i="34"/>
  <c r="K1635" i="34"/>
  <c r="K1636" i="34"/>
  <c r="K1637" i="34"/>
  <c r="K1647" i="34"/>
  <c r="K1648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9" i="34"/>
  <c r="K1590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A1263" i="34" l="1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37" i="34"/>
  <c r="K1938" i="34"/>
  <c r="K1939" i="34"/>
  <c r="K1940" i="34"/>
  <c r="K1941" i="34"/>
  <c r="K1942" i="34"/>
  <c r="K1936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AC747" i="34" l="1"/>
  <c r="C747" i="34"/>
  <c r="B747" i="34" s="1"/>
  <c r="AC282" i="34"/>
  <c r="C282" i="34"/>
  <c r="B282" i="34" s="1"/>
  <c r="A282" i="34" l="1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A1411" i="34" l="1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C1433" i="34"/>
  <c r="AC1432" i="34"/>
  <c r="AC1408" i="34"/>
  <c r="AC1405" i="34"/>
  <c r="AC1403" i="34"/>
  <c r="AC1366" i="34"/>
  <c r="AC1345" i="34"/>
  <c r="AC1344" i="34"/>
  <c r="AC1343" i="34"/>
  <c r="AC1317" i="34"/>
  <c r="AC1311" i="34"/>
  <c r="AC1310" i="34"/>
  <c r="AC1291" i="34"/>
  <c r="AC1290" i="34"/>
  <c r="AC1282" i="34"/>
  <c r="AC1273" i="34"/>
  <c r="AC1272" i="34"/>
  <c r="AC1246" i="34"/>
  <c r="AC1236" i="34"/>
  <c r="AC1229" i="34"/>
  <c r="AC1221" i="34"/>
  <c r="AC1215" i="34"/>
  <c r="AC1214" i="34"/>
  <c r="AC1151" i="34"/>
  <c r="AC1150" i="34"/>
  <c r="AC1127" i="34"/>
  <c r="AC1092" i="34"/>
  <c r="AC1089" i="34"/>
  <c r="AC1086" i="34"/>
  <c r="AC1081" i="34"/>
  <c r="AC1079" i="34"/>
  <c r="AC1037" i="34"/>
  <c r="AC1036" i="34"/>
  <c r="AC1035" i="34"/>
  <c r="AC1002" i="34"/>
  <c r="AC982" i="34"/>
  <c r="AC976" i="34"/>
  <c r="AC916" i="34"/>
  <c r="AC915" i="34"/>
  <c r="AC909" i="34"/>
  <c r="AC905" i="34"/>
  <c r="AC879" i="34"/>
  <c r="AC860" i="34"/>
  <c r="AC814" i="34"/>
  <c r="AC787" i="34"/>
  <c r="AC780" i="34"/>
  <c r="AC775" i="34"/>
  <c r="AC766" i="34"/>
  <c r="AC748" i="34"/>
  <c r="AC746" i="34"/>
  <c r="AC745" i="34"/>
  <c r="AC741" i="34"/>
  <c r="AC740" i="34"/>
  <c r="AC705" i="34"/>
  <c r="AC704" i="34"/>
  <c r="AC693" i="34"/>
  <c r="AC666" i="34"/>
  <c r="AC643" i="34"/>
  <c r="AC607" i="34"/>
  <c r="AC585" i="34"/>
  <c r="AC566" i="34"/>
  <c r="AC565" i="34"/>
  <c r="AC564" i="34"/>
  <c r="AC556" i="34"/>
  <c r="AC546" i="34"/>
  <c r="AC530" i="34"/>
  <c r="AC501" i="34"/>
  <c r="AC500" i="34"/>
  <c r="AC478" i="34"/>
  <c r="AC464" i="34"/>
  <c r="AC443" i="34"/>
  <c r="AC442" i="34"/>
  <c r="AC441" i="34"/>
  <c r="AC385" i="34"/>
  <c r="AC341" i="34"/>
  <c r="AC340" i="34"/>
  <c r="AC333" i="34"/>
  <c r="AC332" i="34"/>
  <c r="AC331" i="34"/>
  <c r="AC330" i="34"/>
  <c r="AC320" i="34"/>
  <c r="AC319" i="34"/>
  <c r="AC305" i="34"/>
  <c r="AC281" i="34"/>
  <c r="AC255" i="34"/>
  <c r="AC216" i="34"/>
  <c r="AC215" i="34"/>
  <c r="AC214" i="34"/>
  <c r="AC194" i="34"/>
  <c r="AC187" i="34"/>
  <c r="AC162" i="34"/>
  <c r="AC154" i="34"/>
  <c r="AC123" i="34"/>
  <c r="AC120" i="34"/>
  <c r="AC119" i="34"/>
  <c r="AC118" i="34"/>
  <c r="AC117" i="34"/>
  <c r="A39" i="70"/>
  <c r="A40" i="70"/>
  <c r="A41" i="70"/>
  <c r="A42" i="70"/>
  <c r="A43" i="70"/>
  <c r="A1440" i="34" l="1"/>
  <c r="A1439" i="34"/>
  <c r="AC1427" i="34"/>
  <c r="AC1407" i="34"/>
  <c r="AC1398" i="34"/>
  <c r="AC1396" i="34"/>
  <c r="AC1375" i="34"/>
  <c r="AC1373" i="34"/>
  <c r="AC1371" i="34"/>
  <c r="AC1348" i="34"/>
  <c r="AC1342" i="34"/>
  <c r="AC1261" i="34"/>
  <c r="AC1258" i="34"/>
  <c r="AC1245" i="34"/>
  <c r="AC1243" i="34"/>
  <c r="AC1235" i="34"/>
  <c r="AC1233" i="34"/>
  <c r="AC1228" i="34"/>
  <c r="AC1201" i="34"/>
  <c r="AC1198" i="34"/>
  <c r="AC1193" i="34"/>
  <c r="AC1191" i="34"/>
  <c r="AC1189" i="34"/>
  <c r="AC1187" i="34"/>
  <c r="AC1181" i="34"/>
  <c r="AC1179" i="34"/>
  <c r="AC1175" i="34"/>
  <c r="AC1171" i="34"/>
  <c r="AC1167" i="34"/>
  <c r="AC1165" i="34"/>
  <c r="AC1160" i="34"/>
  <c r="AC1158" i="34"/>
  <c r="AC1156" i="34"/>
  <c r="AC1154" i="34"/>
  <c r="AC1149" i="34"/>
  <c r="AC1138" i="34"/>
  <c r="AC1135" i="34"/>
  <c r="AC1132" i="34"/>
  <c r="AC1123" i="34"/>
  <c r="AC1121" i="34"/>
  <c r="AC1101" i="34"/>
  <c r="AC1099" i="34"/>
  <c r="AC1097" i="34"/>
  <c r="AC1088" i="34"/>
  <c r="AC1085" i="34"/>
  <c r="AC1078" i="34"/>
  <c r="AC1075" i="34"/>
  <c r="AC1071" i="34"/>
  <c r="AC1069" i="34"/>
  <c r="AC1064" i="34"/>
  <c r="AC1062" i="34"/>
  <c r="AC1060" i="34"/>
  <c r="AC1034" i="34"/>
  <c r="AC1032" i="34"/>
  <c r="AC1029" i="34"/>
  <c r="AC1019" i="34"/>
  <c r="AC1017" i="34"/>
  <c r="AC1001" i="34"/>
  <c r="AC997" i="34"/>
  <c r="AC995" i="34"/>
  <c r="AC992" i="34"/>
  <c r="AC989" i="34"/>
  <c r="AC979" i="34"/>
  <c r="AC974" i="34"/>
  <c r="AC972" i="34"/>
  <c r="AC944" i="34"/>
  <c r="AC938" i="34"/>
  <c r="AC936" i="34"/>
  <c r="AC934" i="34"/>
  <c r="AC930" i="34"/>
  <c r="AC927" i="34"/>
  <c r="AC922" i="34"/>
  <c r="AC904" i="34"/>
  <c r="AC902" i="34"/>
  <c r="AC900" i="34"/>
  <c r="AC896" i="34"/>
  <c r="AC892" i="34"/>
  <c r="AC878" i="34"/>
  <c r="AC869" i="34"/>
  <c r="AC859" i="34"/>
  <c r="AC854" i="34"/>
  <c r="AC851" i="34"/>
  <c r="AC840" i="34"/>
  <c r="AC830" i="34"/>
  <c r="AC820" i="34"/>
  <c r="AC813" i="34"/>
  <c r="AC810" i="34"/>
  <c r="AC793" i="34"/>
  <c r="AC789" i="34"/>
  <c r="AC786" i="34"/>
  <c r="AC774" i="34"/>
  <c r="AC772" i="34"/>
  <c r="AC765" i="34"/>
  <c r="AC760" i="34"/>
  <c r="AC753" i="34"/>
  <c r="AC750" i="34"/>
  <c r="AC744" i="34"/>
  <c r="AC738" i="34"/>
  <c r="AC734" i="34"/>
  <c r="AC720" i="34"/>
  <c r="AC718" i="34"/>
  <c r="AC712" i="34"/>
  <c r="AC708" i="34"/>
  <c r="AC698" i="34"/>
  <c r="AC696" i="34"/>
  <c r="AC692" i="34"/>
  <c r="AC688" i="34"/>
  <c r="AC685" i="34"/>
  <c r="AC682" i="34"/>
  <c r="AC679" i="34"/>
  <c r="AC665" i="34"/>
  <c r="AC663" i="34"/>
  <c r="AC661" i="34"/>
  <c r="AC659" i="34"/>
  <c r="AC654" i="34"/>
  <c r="AC651" i="34"/>
  <c r="AC642" i="34"/>
  <c r="AC638" i="34"/>
  <c r="AC630" i="34"/>
  <c r="AC606" i="34"/>
  <c r="AC604" i="34"/>
  <c r="AC602" i="34"/>
  <c r="AC600" i="34"/>
  <c r="AC598" i="34"/>
  <c r="AC593" i="34"/>
  <c r="AC590" i="34"/>
  <c r="AC588" i="34"/>
  <c r="AC584" i="34"/>
  <c r="AC580" i="34"/>
  <c r="AC578" i="34"/>
  <c r="AC575" i="34"/>
  <c r="AC571" i="34"/>
  <c r="AC569" i="34"/>
  <c r="AC561" i="34"/>
  <c r="AC555" i="34"/>
  <c r="AC553" i="34"/>
  <c r="AC551" i="34"/>
  <c r="AC541" i="34"/>
  <c r="AC538" i="34"/>
  <c r="AC535" i="34"/>
  <c r="AC523" i="34"/>
  <c r="AC520" i="34"/>
  <c r="AC518" i="34"/>
  <c r="AC515" i="34"/>
  <c r="AC508" i="34"/>
  <c r="AC506" i="34"/>
  <c r="AC499" i="34"/>
  <c r="AC482" i="34"/>
  <c r="AC480" i="34"/>
  <c r="AC475" i="34"/>
  <c r="AC472" i="34"/>
  <c r="AC470" i="34"/>
  <c r="AC463" i="34"/>
  <c r="AC455" i="34"/>
  <c r="AC453" i="34"/>
  <c r="AC440" i="34"/>
  <c r="AC438" i="34"/>
  <c r="AC435" i="34"/>
  <c r="AC433" i="34"/>
  <c r="AC431" i="34"/>
  <c r="AC426" i="34"/>
  <c r="AC416" i="34"/>
  <c r="AC408" i="34"/>
  <c r="AC402" i="34"/>
  <c r="AC395" i="34"/>
  <c r="AC391" i="34"/>
  <c r="AC384" i="34"/>
  <c r="AC380" i="34"/>
  <c r="AC377" i="34"/>
  <c r="AC375" i="34"/>
  <c r="AC370" i="34"/>
  <c r="AC362" i="34"/>
  <c r="AC345" i="34"/>
  <c r="AC329" i="34"/>
  <c r="AC318" i="34"/>
  <c r="AC316" i="34"/>
  <c r="AC312" i="34"/>
  <c r="AC310" i="34"/>
  <c r="AC308" i="34"/>
  <c r="AC304" i="34"/>
  <c r="AC302" i="34"/>
  <c r="AC299" i="34"/>
  <c r="AC293" i="34"/>
  <c r="AC280" i="34"/>
  <c r="AC275" i="34"/>
  <c r="AC273" i="34"/>
  <c r="AC271" i="34"/>
  <c r="AC267" i="34"/>
  <c r="AC264" i="34"/>
  <c r="AC259" i="34"/>
  <c r="AC247" i="34"/>
  <c r="AC237" i="34"/>
  <c r="AC228" i="34"/>
  <c r="AC224" i="34"/>
  <c r="AC219" i="34"/>
  <c r="AC213" i="34"/>
  <c r="AC202" i="34"/>
  <c r="AC189" i="34"/>
  <c r="AC186" i="34"/>
  <c r="AC184" i="34"/>
  <c r="AC177" i="34"/>
  <c r="AC175" i="34"/>
  <c r="AC173" i="34"/>
  <c r="AC161" i="34"/>
  <c r="AC157" i="34"/>
  <c r="AC153" i="34"/>
  <c r="AC144" i="34"/>
  <c r="AC141" i="34"/>
  <c r="AC139" i="34"/>
  <c r="AC134" i="34"/>
  <c r="AC132" i="34"/>
  <c r="AC129" i="34"/>
  <c r="AC126" i="34"/>
  <c r="AC122" i="34"/>
  <c r="AC116" i="34"/>
  <c r="AC114" i="34"/>
  <c r="AC112" i="34"/>
  <c r="AC107" i="34"/>
  <c r="AC96" i="34"/>
  <c r="AC85" i="34"/>
  <c r="AC83" i="34"/>
  <c r="AC79" i="34"/>
  <c r="AC73" i="34"/>
  <c r="AC69" i="34"/>
  <c r="AC67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A1434" i="34" l="1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A1323" i="34" l="1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A1104" i="34" l="1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A1213" i="34" l="1"/>
  <c r="A1212" i="34"/>
  <c r="C1375" i="34" l="1"/>
  <c r="B1375" i="34" s="1"/>
  <c r="K1374" i="34"/>
  <c r="C1374" i="34"/>
  <c r="B1374" i="34" s="1"/>
  <c r="K1406" i="34"/>
  <c r="K1426" i="34"/>
  <c r="A1375" i="34" l="1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4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87" i="34"/>
  <c r="K1379" i="34"/>
  <c r="K1364" i="34"/>
  <c r="K1363" i="34"/>
  <c r="K1339" i="34"/>
  <c r="K1338" i="34"/>
  <c r="K1337" i="34"/>
  <c r="K15" i="55" l="1"/>
  <c r="K334" i="55"/>
  <c r="K388" i="55"/>
  <c r="K275" i="55"/>
  <c r="K310" i="55"/>
  <c r="K35" i="55"/>
  <c r="K30" i="55"/>
  <c r="K29" i="55"/>
  <c r="K31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A723" i="34" l="1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42" i="34"/>
  <c r="B2642" i="34" s="1"/>
  <c r="C2653" i="34"/>
  <c r="B2653" i="34" s="1"/>
  <c r="C2649" i="34"/>
  <c r="B2649" i="34" s="1"/>
  <c r="B2788" i="34"/>
  <c r="B2821" i="34"/>
  <c r="B2820" i="34"/>
  <c r="B2819" i="34"/>
  <c r="B2814" i="34"/>
  <c r="B2813" i="34"/>
  <c r="B2798" i="34"/>
  <c r="B2797" i="34"/>
  <c r="B2796" i="34"/>
  <c r="B2784" i="34"/>
  <c r="B2783" i="34"/>
  <c r="B2780" i="34"/>
  <c r="B2779" i="34"/>
  <c r="B2774" i="34"/>
  <c r="B2773" i="34"/>
  <c r="B2772" i="34"/>
  <c r="B2778" i="34"/>
  <c r="B2777" i="34"/>
  <c r="B2755" i="34"/>
  <c r="B2754" i="34"/>
  <c r="B2738" i="34"/>
  <c r="B2737" i="34"/>
  <c r="B2736" i="34"/>
  <c r="B2735" i="34"/>
  <c r="B2721" i="34"/>
  <c r="B2720" i="34"/>
  <c r="B2719" i="34"/>
  <c r="B2715" i="34"/>
  <c r="B2714" i="34"/>
  <c r="C2677" i="34"/>
  <c r="B2677" i="34" s="1"/>
  <c r="C2666" i="34"/>
  <c r="B2666" i="34" s="1"/>
  <c r="C2665" i="34"/>
  <c r="B2665" i="34" s="1"/>
  <c r="C2656" i="34"/>
  <c r="B2656" i="34" s="1"/>
  <c r="C2655" i="34"/>
  <c r="B2655" i="34" s="1"/>
  <c r="C2640" i="34"/>
  <c r="B2640" i="34" s="1"/>
  <c r="C2639" i="34"/>
  <c r="B2639" i="34" s="1"/>
  <c r="C2632" i="34"/>
  <c r="B2632" i="34" s="1"/>
  <c r="C2629" i="34"/>
  <c r="B2629" i="34" s="1"/>
  <c r="C2607" i="34"/>
  <c r="B2607" i="34" s="1"/>
  <c r="C2602" i="34"/>
  <c r="B2602" i="34" s="1"/>
  <c r="C2508" i="34"/>
  <c r="B2508" i="34" s="1"/>
  <c r="T717" i="60" l="1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A2788" i="34"/>
  <c r="A2642" i="34"/>
  <c r="A2653" i="34"/>
  <c r="A2649" i="34"/>
  <c r="A2819" i="34"/>
  <c r="A2821" i="34"/>
  <c r="A2820" i="34"/>
  <c r="A2813" i="34"/>
  <c r="A2814" i="34"/>
  <c r="A2798" i="34"/>
  <c r="A2796" i="34"/>
  <c r="A2797" i="34"/>
  <c r="A2783" i="34"/>
  <c r="A2784" i="34"/>
  <c r="A2780" i="34"/>
  <c r="A2779" i="34"/>
  <c r="A2773" i="34"/>
  <c r="A2774" i="34"/>
  <c r="A2772" i="34"/>
  <c r="A2778" i="34"/>
  <c r="A2777" i="34"/>
  <c r="A2754" i="34"/>
  <c r="A2755" i="34"/>
  <c r="A2737" i="34"/>
  <c r="A2738" i="34"/>
  <c r="A2736" i="34"/>
  <c r="A2735" i="34"/>
  <c r="A2719" i="34"/>
  <c r="A2720" i="34"/>
  <c r="A2721" i="34"/>
  <c r="A2714" i="34"/>
  <c r="A2715" i="34"/>
  <c r="A2677" i="34"/>
  <c r="A2665" i="34"/>
  <c r="A2666" i="34"/>
  <c r="A2655" i="34"/>
  <c r="A2656" i="34"/>
  <c r="A2639" i="34"/>
  <c r="A2640" i="34"/>
  <c r="A2632" i="34"/>
  <c r="A2629" i="34"/>
  <c r="A2607" i="34"/>
  <c r="A2602" i="34"/>
  <c r="A2508" i="34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19" i="34"/>
  <c r="C2520" i="34"/>
  <c r="C2507" i="34"/>
  <c r="C2509" i="34"/>
  <c r="C2510" i="34"/>
  <c r="C2521" i="34"/>
  <c r="C2522" i="34"/>
  <c r="C2529" i="34"/>
  <c r="C2530" i="34"/>
  <c r="C2540" i="34"/>
  <c r="C2541" i="34"/>
  <c r="C2542" i="34"/>
  <c r="C2543" i="34"/>
  <c r="C2544" i="34"/>
  <c r="C2545" i="34"/>
  <c r="C2511" i="34"/>
  <c r="C2512" i="34"/>
  <c r="C2515" i="34"/>
  <c r="C2516" i="34"/>
  <c r="C2517" i="34"/>
  <c r="C2523" i="34"/>
  <c r="C2524" i="34"/>
  <c r="C2525" i="34"/>
  <c r="C2526" i="34"/>
  <c r="C2531" i="34"/>
  <c r="C2532" i="34"/>
  <c r="C2533" i="34"/>
  <c r="C2534" i="34"/>
  <c r="C2535" i="34"/>
  <c r="C2538" i="34"/>
  <c r="C2539" i="34"/>
  <c r="C2527" i="34"/>
  <c r="C2528" i="34"/>
  <c r="C2513" i="34"/>
  <c r="C2514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36" i="34"/>
  <c r="C2537" i="34"/>
  <c r="C2598" i="34"/>
  <c r="C2599" i="34"/>
  <c r="C2600" i="34"/>
  <c r="C2601" i="34"/>
  <c r="C2603" i="34"/>
  <c r="C2604" i="34"/>
  <c r="C2605" i="34"/>
  <c r="C2606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30" i="34"/>
  <c r="C2631" i="34"/>
  <c r="C2633" i="34"/>
  <c r="C2634" i="34"/>
  <c r="C2635" i="34"/>
  <c r="C2636" i="34"/>
  <c r="C2637" i="34"/>
  <c r="C2638" i="34"/>
  <c r="C2657" i="34"/>
  <c r="C2658" i="34"/>
  <c r="C2659" i="34"/>
  <c r="C2662" i="34"/>
  <c r="C2663" i="34"/>
  <c r="C2664" i="34"/>
  <c r="C2667" i="34"/>
  <c r="C2668" i="34"/>
  <c r="C2669" i="34"/>
  <c r="C2670" i="34"/>
  <c r="C2671" i="34"/>
  <c r="C2672" i="34"/>
  <c r="C2673" i="34"/>
  <c r="C2674" i="34"/>
  <c r="C2675" i="34"/>
  <c r="C2676" i="34"/>
  <c r="C2678" i="34"/>
  <c r="C2679" i="34"/>
  <c r="C2680" i="34"/>
  <c r="C2681" i="34"/>
  <c r="C2682" i="34"/>
  <c r="C2683" i="34"/>
  <c r="C2647" i="34"/>
  <c r="C2648" i="34"/>
  <c r="C2660" i="34"/>
  <c r="C2661" i="34"/>
  <c r="C2650" i="34"/>
  <c r="C2651" i="34"/>
  <c r="C2652" i="34"/>
  <c r="C2654" i="34"/>
  <c r="C2641" i="34"/>
  <c r="C2643" i="34"/>
  <c r="C2644" i="34"/>
  <c r="C2645" i="34"/>
  <c r="C2646" i="34"/>
  <c r="C2684" i="34"/>
  <c r="C2685" i="34"/>
  <c r="C2686" i="34"/>
  <c r="C2518" i="34"/>
  <c r="C2354" i="34" l="1"/>
  <c r="C2355" i="34"/>
  <c r="C2356" i="34"/>
  <c r="C2357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I7" i="12" l="1"/>
  <c r="I11" i="12"/>
  <c r="I21" i="12"/>
  <c r="I23" i="12"/>
  <c r="I10" i="12"/>
  <c r="I9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36" i="34"/>
  <c r="C1937" i="34"/>
  <c r="C1938" i="34"/>
  <c r="C1939" i="34"/>
  <c r="C1940" i="34"/>
  <c r="C1941" i="34"/>
  <c r="C1942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9" i="34"/>
  <c r="C1590" i="34"/>
  <c r="C1591" i="34"/>
  <c r="C1592" i="34"/>
  <c r="C1593" i="34"/>
  <c r="C1594" i="34"/>
  <c r="C1595" i="34"/>
  <c r="C1596" i="34"/>
  <c r="C1600" i="34"/>
  <c r="C1601" i="34"/>
  <c r="C1602" i="34"/>
  <c r="C1603" i="34"/>
  <c r="C1604" i="34"/>
  <c r="C1605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5" i="34"/>
  <c r="C1636" i="34"/>
  <c r="C1637" i="34"/>
  <c r="C1638" i="34"/>
  <c r="C1647" i="34"/>
  <c r="C1648" i="34"/>
  <c r="C1649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70" i="34"/>
  <c r="C1671" i="34"/>
  <c r="C1672" i="34"/>
  <c r="C1673" i="34"/>
  <c r="C1674" i="34"/>
  <c r="C1675" i="34"/>
  <c r="C1676" i="34"/>
  <c r="C1677" i="34"/>
  <c r="C1678" i="34"/>
  <c r="C1681" i="34"/>
  <c r="C1682" i="34"/>
  <c r="C1683" i="34"/>
  <c r="C1684" i="34"/>
  <c r="C1685" i="34"/>
  <c r="C1686" i="34"/>
  <c r="C1696" i="34"/>
  <c r="C1697" i="34"/>
  <c r="C1698" i="34"/>
  <c r="C1699" i="34"/>
  <c r="C1700" i="34"/>
  <c r="C1701" i="34"/>
  <c r="C1702" i="34"/>
  <c r="C1703" i="34"/>
  <c r="C1720" i="34"/>
  <c r="C1721" i="34"/>
  <c r="C1722" i="34"/>
  <c r="C1723" i="34"/>
  <c r="C1727" i="34"/>
  <c r="C1728" i="34"/>
  <c r="C1729" i="34"/>
  <c r="C1730" i="34"/>
  <c r="C173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522" i="34"/>
  <c r="C1523" i="34"/>
  <c r="C1524" i="34"/>
  <c r="C1470" i="34"/>
  <c r="C1471" i="34"/>
  <c r="C1472" i="34"/>
  <c r="C1639" i="34"/>
  <c r="C1640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6" i="34"/>
  <c r="C1977" i="34"/>
  <c r="C1978" i="34"/>
  <c r="C1979" i="34"/>
  <c r="C1980" i="34"/>
  <c r="C1981" i="34"/>
  <c r="C1982" i="34"/>
  <c r="C1983" i="34"/>
  <c r="C1984" i="34"/>
  <c r="C1985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902" i="34" l="1"/>
  <c r="B2900" i="34"/>
  <c r="B2332" i="34"/>
  <c r="B2330" i="34"/>
  <c r="B2221" i="34"/>
  <c r="B2033" i="34"/>
  <c r="B2031" i="34"/>
  <c r="B1585" i="34"/>
  <c r="B877" i="34"/>
  <c r="A1585" i="34" l="1"/>
  <c r="A877" i="34"/>
  <c r="A2900" i="34"/>
  <c r="A2902" i="34"/>
  <c r="A2330" i="34"/>
  <c r="A2033" i="34"/>
  <c r="A2221" i="34"/>
  <c r="A2031" i="34"/>
  <c r="A2332" i="34"/>
  <c r="B3243" i="34"/>
  <c r="B2460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44" i="34"/>
  <c r="B2024" i="34"/>
  <c r="B2023" i="34"/>
  <c r="B1752" i="34"/>
  <c r="B1751" i="34"/>
  <c r="B1628" i="34"/>
  <c r="B1627" i="34"/>
  <c r="B1566" i="34"/>
  <c r="B1565" i="34"/>
  <c r="B1513" i="34"/>
  <c r="B1512" i="34"/>
  <c r="B1480" i="34"/>
  <c r="B1479" i="34"/>
  <c r="B1478" i="34"/>
  <c r="B1477" i="34"/>
  <c r="B1937" i="34"/>
  <c r="B1936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179" i="34"/>
  <c r="B2178" i="34"/>
  <c r="B2177" i="34"/>
  <c r="B2165" i="34"/>
  <c r="B2164" i="34"/>
  <c r="B2163" i="34"/>
  <c r="B2162" i="34"/>
  <c r="B2161" i="34"/>
  <c r="B2160" i="34"/>
  <c r="B2159" i="34"/>
  <c r="B2158" i="34"/>
  <c r="B2157" i="34"/>
  <c r="B2136" i="34"/>
  <c r="B2135" i="34"/>
  <c r="B2134" i="34"/>
  <c r="B2133" i="34"/>
  <c r="B2132" i="34"/>
  <c r="B2131" i="34"/>
  <c r="B2130" i="34"/>
  <c r="B2129" i="34"/>
  <c r="B2128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87" i="34"/>
  <c r="B2086" i="34"/>
  <c r="B2052" i="34"/>
  <c r="B2051" i="34"/>
  <c r="B2050" i="34"/>
  <c r="B2049" i="34"/>
  <c r="B2048" i="34"/>
  <c r="B2047" i="34"/>
  <c r="B2046" i="34"/>
  <c r="B2045" i="34"/>
  <c r="B1471" i="34"/>
  <c r="B1470" i="34"/>
  <c r="B1524" i="34"/>
  <c r="B1523" i="34"/>
  <c r="B1522" i="34"/>
  <c r="B1762" i="34"/>
  <c r="B1761" i="34"/>
  <c r="B1760" i="34"/>
  <c r="B1759" i="34"/>
  <c r="B1758" i="34"/>
  <c r="B1757" i="34"/>
  <c r="B1756" i="34"/>
  <c r="B1755" i="34"/>
  <c r="B1684" i="34"/>
  <c r="B1683" i="34"/>
  <c r="B1682" i="34"/>
  <c r="B1681" i="34"/>
  <c r="B1678" i="34"/>
  <c r="B1677" i="34"/>
  <c r="B1676" i="34"/>
  <c r="B1675" i="34"/>
  <c r="B1674" i="34"/>
  <c r="B1648" i="34"/>
  <c r="B1647" i="34"/>
  <c r="B1638" i="34"/>
  <c r="B1637" i="34"/>
  <c r="B1636" i="34"/>
  <c r="B1635" i="34"/>
  <c r="B1631" i="34"/>
  <c r="B1630" i="34"/>
  <c r="B1629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1979" i="34"/>
  <c r="B1978" i="34"/>
  <c r="B1977" i="34"/>
  <c r="B1976" i="34"/>
  <c r="B1946" i="34"/>
  <c r="B1640" i="34"/>
  <c r="B1639" i="34"/>
  <c r="B1472" i="34"/>
  <c r="A56" i="70"/>
  <c r="B148" i="34"/>
  <c r="A1631" i="34" l="1"/>
  <c r="A1638" i="34"/>
  <c r="A1187" i="34"/>
  <c r="A1339" i="34"/>
  <c r="A1253" i="34"/>
  <c r="A1257" i="34"/>
  <c r="A1426" i="34"/>
  <c r="A1477" i="34"/>
  <c r="A1512" i="34"/>
  <c r="A1627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35" i="34"/>
  <c r="A1647" i="34"/>
  <c r="A1188" i="34"/>
  <c r="A1243" i="34"/>
  <c r="A1254" i="34"/>
  <c r="A1258" i="34"/>
  <c r="A1427" i="34"/>
  <c r="A1478" i="34"/>
  <c r="A1513" i="34"/>
  <c r="A1628" i="34"/>
  <c r="A969" i="34"/>
  <c r="A973" i="34"/>
  <c r="A1027" i="34"/>
  <c r="A1031" i="34"/>
  <c r="A1117" i="34"/>
  <c r="A1121" i="34"/>
  <c r="A1130" i="34"/>
  <c r="A1174" i="34"/>
  <c r="A1178" i="34"/>
  <c r="A1182" i="34"/>
  <c r="A1629" i="34"/>
  <c r="A1636" i="34"/>
  <c r="A1648" i="34"/>
  <c r="A1337" i="34"/>
  <c r="A1244" i="34"/>
  <c r="A1255" i="34"/>
  <c r="A1406" i="34"/>
  <c r="A1936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30" i="34"/>
  <c r="A1637" i="34"/>
  <c r="A1186" i="34"/>
  <c r="A1338" i="34"/>
  <c r="A1245" i="34"/>
  <c r="A1256" i="34"/>
  <c r="A1407" i="34"/>
  <c r="A1937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46" i="34"/>
  <c r="A1979" i="34"/>
  <c r="A2183" i="34"/>
  <c r="A2187" i="34"/>
  <c r="A1677" i="34"/>
  <c r="A1683" i="34"/>
  <c r="A1757" i="34"/>
  <c r="A1761" i="34"/>
  <c r="A1524" i="34"/>
  <c r="A2046" i="34"/>
  <c r="A2050" i="34"/>
  <c r="A2087" i="34"/>
  <c r="A2102" i="34"/>
  <c r="A2106" i="34"/>
  <c r="A2128" i="34"/>
  <c r="A2132" i="34"/>
  <c r="A2136" i="34"/>
  <c r="A2160" i="34"/>
  <c r="A2164" i="34"/>
  <c r="A2179" i="34"/>
  <c r="A2023" i="34"/>
  <c r="A3243" i="34"/>
  <c r="A1640" i="34"/>
  <c r="A1472" i="34"/>
  <c r="A1976" i="34"/>
  <c r="A2180" i="34"/>
  <c r="A2184" i="34"/>
  <c r="A2188" i="34"/>
  <c r="A1674" i="34"/>
  <c r="A1678" i="34"/>
  <c r="A1684" i="34"/>
  <c r="A1758" i="34"/>
  <c r="A1762" i="34"/>
  <c r="A1470" i="34"/>
  <c r="A2047" i="34"/>
  <c r="A2051" i="34"/>
  <c r="A2099" i="34"/>
  <c r="A2103" i="34"/>
  <c r="A2107" i="34"/>
  <c r="A2129" i="34"/>
  <c r="A2133" i="34"/>
  <c r="A2157" i="34"/>
  <c r="A2161" i="34"/>
  <c r="A2165" i="34"/>
  <c r="A2024" i="34"/>
  <c r="A1639" i="34"/>
  <c r="A1977" i="34"/>
  <c r="A2181" i="34"/>
  <c r="A2185" i="34"/>
  <c r="A2189" i="34"/>
  <c r="A1675" i="34"/>
  <c r="A1681" i="34"/>
  <c r="A1755" i="34"/>
  <c r="A1759" i="34"/>
  <c r="A1522" i="34"/>
  <c r="A1471" i="34"/>
  <c r="A2048" i="34"/>
  <c r="A2052" i="34"/>
  <c r="A2100" i="34"/>
  <c r="A2104" i="34"/>
  <c r="A2108" i="34"/>
  <c r="A2130" i="34"/>
  <c r="A2134" i="34"/>
  <c r="A2158" i="34"/>
  <c r="A2162" i="34"/>
  <c r="A2177" i="34"/>
  <c r="A1751" i="34"/>
  <c r="A2044" i="34"/>
  <c r="A1978" i="34"/>
  <c r="A2182" i="34"/>
  <c r="A2186" i="34"/>
  <c r="A2190" i="34"/>
  <c r="A1676" i="34"/>
  <c r="A1682" i="34"/>
  <c r="A1756" i="34"/>
  <c r="A1760" i="34"/>
  <c r="A1523" i="34"/>
  <c r="A2045" i="34"/>
  <c r="A2049" i="34"/>
  <c r="A2086" i="34"/>
  <c r="A2101" i="34"/>
  <c r="A2105" i="34"/>
  <c r="A2109" i="34"/>
  <c r="A2131" i="34"/>
  <c r="A2135" i="34"/>
  <c r="A2159" i="34"/>
  <c r="A2163" i="34"/>
  <c r="A2178" i="34"/>
  <c r="A1752" i="34"/>
  <c r="A2460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A602" i="34" l="1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35" i="34"/>
  <c r="B3211" i="34"/>
  <c r="A2035" i="34" l="1"/>
  <c r="A3211" i="34"/>
  <c r="B3210" i="34"/>
  <c r="B3209" i="34"/>
  <c r="B119" i="34"/>
  <c r="A119" i="34" l="1"/>
  <c r="A3209" i="34"/>
  <c r="A3210" i="34"/>
  <c r="B3289" i="34"/>
  <c r="B3290" i="34"/>
  <c r="B3291" i="34"/>
  <c r="B3292" i="34"/>
  <c r="B3293" i="34"/>
  <c r="B3294" i="34"/>
  <c r="B3295" i="34"/>
  <c r="B3296" i="34"/>
  <c r="B3297" i="34"/>
  <c r="B3298" i="34"/>
  <c r="B3300" i="34"/>
  <c r="B3301" i="34"/>
  <c r="B3302" i="34"/>
  <c r="B3303" i="34"/>
  <c r="B3304" i="34"/>
  <c r="B3305" i="34"/>
  <c r="B3306" i="34"/>
  <c r="B3308" i="34"/>
  <c r="B3309" i="34"/>
  <c r="B3310" i="34"/>
  <c r="B3311" i="34"/>
  <c r="B2985" i="34"/>
  <c r="B2986" i="34"/>
  <c r="B2987" i="34"/>
  <c r="B2988" i="34"/>
  <c r="B2989" i="34"/>
  <c r="B2999" i="34"/>
  <c r="B3000" i="34"/>
  <c r="B3001" i="34"/>
  <c r="B3002" i="34"/>
  <c r="B3003" i="34"/>
  <c r="B3004" i="34"/>
  <c r="B3005" i="34"/>
  <c r="B3007" i="34"/>
  <c r="B3008" i="34"/>
  <c r="B3009" i="34"/>
  <c r="B3010" i="34"/>
  <c r="B3011" i="34"/>
  <c r="B3012" i="34"/>
  <c r="B3014" i="34"/>
  <c r="B3016" i="34"/>
  <c r="B3017" i="34"/>
  <c r="B3018" i="34"/>
  <c r="B3019" i="34"/>
  <c r="B3020" i="34"/>
  <c r="B3021" i="34"/>
  <c r="B3022" i="34"/>
  <c r="B3023" i="34"/>
  <c r="B3024" i="34"/>
  <c r="B3025" i="34"/>
  <c r="B3031" i="34"/>
  <c r="B3032" i="34"/>
  <c r="B3033" i="34"/>
  <c r="B3034" i="34"/>
  <c r="B3072" i="34"/>
  <c r="B3073" i="34"/>
  <c r="B3074" i="34"/>
  <c r="B3075" i="34"/>
  <c r="B3076" i="34"/>
  <c r="B3077" i="34"/>
  <c r="B3078" i="34"/>
  <c r="B3079" i="34"/>
  <c r="B3080" i="34"/>
  <c r="B3081" i="34"/>
  <c r="B3082" i="34"/>
  <c r="B3083" i="34"/>
  <c r="B3176" i="34"/>
  <c r="B3177" i="34"/>
  <c r="B3178" i="34"/>
  <c r="B3179" i="34"/>
  <c r="B3180" i="34"/>
  <c r="B3181" i="34"/>
  <c r="B3182" i="34"/>
  <c r="B3183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231" i="34"/>
  <c r="B3232" i="34"/>
  <c r="B3233" i="34"/>
  <c r="B3234" i="34"/>
  <c r="B3235" i="34"/>
  <c r="B3236" i="34"/>
  <c r="B3237" i="34"/>
  <c r="B3238" i="34"/>
  <c r="B3239" i="34"/>
  <c r="B3240" i="34"/>
  <c r="B3035" i="34"/>
  <c r="B2994" i="34"/>
  <c r="B3084" i="34"/>
  <c r="B3085" i="34"/>
  <c r="B3086" i="34"/>
  <c r="B3087" i="34"/>
  <c r="B3088" i="34"/>
  <c r="B3089" i="34"/>
  <c r="B3090" i="34"/>
  <c r="B3091" i="34"/>
  <c r="B3092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55" i="34"/>
  <c r="B3154" i="34"/>
  <c r="B3153" i="34"/>
  <c r="B3152" i="34"/>
  <c r="B3071" i="34"/>
  <c r="B3070" i="34"/>
  <c r="B3069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2993" i="34"/>
  <c r="B2992" i="34"/>
  <c r="B3030" i="34"/>
  <c r="B3029" i="34"/>
  <c r="B3365" i="34"/>
  <c r="B3364" i="34"/>
  <c r="B3363" i="34"/>
  <c r="B3208" i="34"/>
  <c r="B3028" i="34"/>
  <c r="B3027" i="34"/>
  <c r="B3026" i="34"/>
  <c r="B2998" i="34"/>
  <c r="B2997" i="34"/>
  <c r="B2996" i="34"/>
  <c r="B2991" i="34"/>
  <c r="B2990" i="34"/>
  <c r="B3015" i="34"/>
  <c r="B3013" i="34"/>
  <c r="B3006" i="34"/>
  <c r="B2984" i="34"/>
  <c r="B2982" i="34"/>
  <c r="B2983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2" i="34"/>
  <c r="B3241" i="34"/>
  <c r="B3175" i="34"/>
  <c r="B3299" i="34"/>
  <c r="B3288" i="34"/>
  <c r="B3287" i="34"/>
  <c r="B3286" i="34"/>
  <c r="B3285" i="34"/>
  <c r="B3284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B3158" i="34"/>
  <c r="B3157" i="34"/>
  <c r="B3156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322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61" i="34"/>
  <c r="B3160" i="34"/>
  <c r="B3159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2995" i="34"/>
  <c r="B3036" i="34"/>
  <c r="B3321" i="34"/>
  <c r="B3320" i="34"/>
  <c r="B3319" i="34"/>
  <c r="B3318" i="34"/>
  <c r="B3317" i="34"/>
  <c r="B3316" i="34"/>
  <c r="B3315" i="34"/>
  <c r="B3314" i="34"/>
  <c r="B3313" i="34"/>
  <c r="B3312" i="34"/>
  <c r="B3307" i="34"/>
  <c r="B2522" i="34"/>
  <c r="B2529" i="34"/>
  <c r="B2530" i="34"/>
  <c r="B2540" i="34"/>
  <c r="B2541" i="34"/>
  <c r="B2542" i="34"/>
  <c r="B2543" i="34"/>
  <c r="B2544" i="34"/>
  <c r="B2545" i="34"/>
  <c r="B2511" i="34"/>
  <c r="B2512" i="34"/>
  <c r="B2515" i="34"/>
  <c r="B2516" i="34"/>
  <c r="B2517" i="34"/>
  <c r="B2523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716" i="34"/>
  <c r="B2717" i="34"/>
  <c r="B2718" i="34"/>
  <c r="B2722" i="34"/>
  <c r="B2723" i="34"/>
  <c r="B2724" i="34"/>
  <c r="B2729" i="34"/>
  <c r="B2730" i="34"/>
  <c r="B2731" i="34"/>
  <c r="B2732" i="34"/>
  <c r="B2733" i="34"/>
  <c r="B2734" i="34"/>
  <c r="B2762" i="34"/>
  <c r="B2763" i="34"/>
  <c r="B2764" i="34"/>
  <c r="B2766" i="34"/>
  <c r="B2767" i="34"/>
  <c r="B2739" i="34"/>
  <c r="B2740" i="34"/>
  <c r="B2741" i="34"/>
  <c r="B2746" i="34"/>
  <c r="B2747" i="34"/>
  <c r="B2748" i="34"/>
  <c r="B2751" i="34"/>
  <c r="B2752" i="34"/>
  <c r="B2753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469" i="34"/>
  <c r="B2915" i="34"/>
  <c r="B2916" i="34"/>
  <c r="B2917" i="34"/>
  <c r="B2918" i="34"/>
  <c r="B2919" i="34"/>
  <c r="B2920" i="34"/>
  <c r="B2921" i="34"/>
  <c r="B2971" i="34"/>
  <c r="B2972" i="34"/>
  <c r="B2973" i="34"/>
  <c r="B2974" i="34"/>
  <c r="B2975" i="34"/>
  <c r="B2524" i="34"/>
  <c r="B2525" i="34"/>
  <c r="B2526" i="34"/>
  <c r="B2531" i="34"/>
  <c r="B2532" i="34"/>
  <c r="B2533" i="34"/>
  <c r="B2534" i="34"/>
  <c r="B2535" i="34"/>
  <c r="B2538" i="34"/>
  <c r="B2539" i="34"/>
  <c r="B2527" i="34"/>
  <c r="B2528" i="34"/>
  <c r="B2503" i="34"/>
  <c r="B2504" i="34"/>
  <c r="B2505" i="34"/>
  <c r="B2506" i="34"/>
  <c r="B2590" i="34"/>
  <c r="B2591" i="34"/>
  <c r="B2593" i="34"/>
  <c r="B2594" i="34"/>
  <c r="B2595" i="34"/>
  <c r="B2596" i="34"/>
  <c r="B2597" i="34"/>
  <c r="B2536" i="34"/>
  <c r="B2537" i="34"/>
  <c r="B2598" i="34"/>
  <c r="B2599" i="34"/>
  <c r="B2600" i="34"/>
  <c r="B2601" i="34"/>
  <c r="B2603" i="34"/>
  <c r="B2604" i="34"/>
  <c r="B2605" i="34"/>
  <c r="B2606" i="34"/>
  <c r="B2799" i="34"/>
  <c r="B2800" i="34"/>
  <c r="B2811" i="34"/>
  <c r="B2812" i="34"/>
  <c r="B2794" i="34"/>
  <c r="B2795" i="34"/>
  <c r="B2792" i="34"/>
  <c r="B2793" i="34"/>
  <c r="B2790" i="34"/>
  <c r="B2791" i="34"/>
  <c r="B2781" i="34"/>
  <c r="B2782" i="34"/>
  <c r="B2801" i="34"/>
  <c r="B2802" i="34"/>
  <c r="B2815" i="34"/>
  <c r="B2816" i="34"/>
  <c r="B2787" i="34"/>
  <c r="B2789" i="34"/>
  <c r="B2647" i="34"/>
  <c r="B2648" i="34"/>
  <c r="B2660" i="34"/>
  <c r="B2661" i="34"/>
  <c r="B2650" i="34"/>
  <c r="B2651" i="34"/>
  <c r="B2652" i="34"/>
  <c r="B2654" i="34"/>
  <c r="B2862" i="34"/>
  <c r="B2863" i="34"/>
  <c r="B2864" i="34"/>
  <c r="B2865" i="34"/>
  <c r="B2866" i="34"/>
  <c r="B2867" i="34"/>
  <c r="B2868" i="34"/>
  <c r="B2869" i="34"/>
  <c r="B2870" i="34"/>
  <c r="B2871" i="34"/>
  <c r="B2872" i="34"/>
  <c r="B2521" i="34"/>
  <c r="B2765" i="34"/>
  <c r="B2592" i="34"/>
  <c r="A2872" i="34" l="1"/>
  <c r="A2868" i="34"/>
  <c r="A2864" i="34"/>
  <c r="A2652" i="34"/>
  <c r="A2660" i="34"/>
  <c r="A2787" i="34"/>
  <c r="A2801" i="34"/>
  <c r="A2790" i="34"/>
  <c r="A2794" i="34"/>
  <c r="A2800" i="34"/>
  <c r="A2604" i="34"/>
  <c r="A2599" i="34"/>
  <c r="A2597" i="34"/>
  <c r="A2593" i="34"/>
  <c r="A2506" i="34"/>
  <c r="A2528" i="34"/>
  <c r="A2535" i="34"/>
  <c r="A2531" i="34"/>
  <c r="A2975" i="34"/>
  <c r="A2971" i="34"/>
  <c r="A2918" i="34"/>
  <c r="A2469" i="34"/>
  <c r="A2858" i="34"/>
  <c r="A2854" i="34"/>
  <c r="A2850" i="34"/>
  <c r="A2846" i="34"/>
  <c r="A2842" i="34"/>
  <c r="A2838" i="34"/>
  <c r="A2834" i="34"/>
  <c r="A2752" i="34"/>
  <c r="A2746" i="34"/>
  <c r="A2767" i="34"/>
  <c r="A2763" i="34"/>
  <c r="A2732" i="34"/>
  <c r="A2724" i="34"/>
  <c r="A2717" i="34"/>
  <c r="A2587" i="34"/>
  <c r="A2583" i="34"/>
  <c r="A2579" i="34"/>
  <c r="A2575" i="34"/>
  <c r="A2523" i="34"/>
  <c r="A2512" i="34"/>
  <c r="A2543" i="34"/>
  <c r="A2530" i="34"/>
  <c r="A3312" i="34"/>
  <c r="A3316" i="34"/>
  <c r="A3320" i="34"/>
  <c r="A3118" i="34"/>
  <c r="A3122" i="34"/>
  <c r="A3126" i="34"/>
  <c r="A3130" i="34"/>
  <c r="A3134" i="34"/>
  <c r="A3138" i="34"/>
  <c r="A3142" i="34"/>
  <c r="A3146" i="34"/>
  <c r="A3150" i="34"/>
  <c r="A3161" i="34"/>
  <c r="A3199" i="34"/>
  <c r="A3203" i="34"/>
  <c r="A3207" i="34"/>
  <c r="A3095" i="34"/>
  <c r="A3099" i="34"/>
  <c r="A3103" i="34"/>
  <c r="A3107" i="34"/>
  <c r="A3111" i="34"/>
  <c r="A3115" i="34"/>
  <c r="A3157" i="34"/>
  <c r="A3186" i="34"/>
  <c r="A3190" i="34"/>
  <c r="A3194" i="34"/>
  <c r="A3286" i="34"/>
  <c r="A3175" i="34"/>
  <c r="A3244" i="34"/>
  <c r="A3248" i="34"/>
  <c r="A3252" i="34"/>
  <c r="A3256" i="34"/>
  <c r="A3260" i="34"/>
  <c r="A3264" i="34"/>
  <c r="A3268" i="34"/>
  <c r="A3272" i="34"/>
  <c r="A3276" i="34"/>
  <c r="A3280" i="34"/>
  <c r="A2983" i="34"/>
  <c r="A3013" i="34"/>
  <c r="A2991" i="34"/>
  <c r="A3026" i="34"/>
  <c r="A3363" i="34"/>
  <c r="A3030" i="34"/>
  <c r="A3038" i="34"/>
  <c r="A3042" i="34"/>
  <c r="A3046" i="34"/>
  <c r="A3050" i="34"/>
  <c r="A3054" i="34"/>
  <c r="A3058" i="34"/>
  <c r="A3062" i="34"/>
  <c r="A3066" i="34"/>
  <c r="A3070" i="34"/>
  <c r="A3154" i="34"/>
  <c r="A3164" i="34"/>
  <c r="A3168" i="34"/>
  <c r="A3172" i="34"/>
  <c r="A3091" i="34"/>
  <c r="A3087" i="34"/>
  <c r="A2994" i="34"/>
  <c r="A3238" i="34"/>
  <c r="A3234" i="34"/>
  <c r="A3230" i="34"/>
  <c r="A3226" i="34"/>
  <c r="A3222" i="34"/>
  <c r="A3218" i="34"/>
  <c r="A3214" i="34"/>
  <c r="A3182" i="34"/>
  <c r="A3178" i="34"/>
  <c r="A3083" i="34"/>
  <c r="A3079" i="34"/>
  <c r="A3075" i="34"/>
  <c r="A3034" i="34"/>
  <c r="A3025" i="34"/>
  <c r="A3021" i="34"/>
  <c r="A3017" i="34"/>
  <c r="A3009" i="34"/>
  <c r="A3005" i="34"/>
  <c r="A3001" i="34"/>
  <c r="A2988" i="34"/>
  <c r="A3310" i="34"/>
  <c r="A3306" i="34"/>
  <c r="A3302" i="34"/>
  <c r="A3298" i="34"/>
  <c r="A3294" i="34"/>
  <c r="A3290" i="34"/>
  <c r="A2592" i="34"/>
  <c r="A2871" i="34"/>
  <c r="A2867" i="34"/>
  <c r="A2863" i="34"/>
  <c r="A2651" i="34"/>
  <c r="A2648" i="34"/>
  <c r="A2816" i="34"/>
  <c r="A2782" i="34"/>
  <c r="A2793" i="34"/>
  <c r="A2812" i="34"/>
  <c r="A2799" i="34"/>
  <c r="A2603" i="34"/>
  <c r="A2598" i="34"/>
  <c r="A2596" i="34"/>
  <c r="A2505" i="34"/>
  <c r="A2527" i="34"/>
  <c r="A2534" i="34"/>
  <c r="A2526" i="34"/>
  <c r="A2974" i="34"/>
  <c r="A2921" i="34"/>
  <c r="A2917" i="34"/>
  <c r="A2861" i="34"/>
  <c r="A2857" i="34"/>
  <c r="A2853" i="34"/>
  <c r="A2849" i="34"/>
  <c r="A2845" i="34"/>
  <c r="A2841" i="34"/>
  <c r="A2837" i="34"/>
  <c r="A2833" i="34"/>
  <c r="A2751" i="34"/>
  <c r="A2741" i="34"/>
  <c r="A2766" i="34"/>
  <c r="A2762" i="34"/>
  <c r="A2731" i="34"/>
  <c r="A2723" i="34"/>
  <c r="A2716" i="34"/>
  <c r="A2586" i="34"/>
  <c r="A2582" i="34"/>
  <c r="A2578" i="34"/>
  <c r="A2574" i="34"/>
  <c r="A2517" i="34"/>
  <c r="A2511" i="34"/>
  <c r="A2542" i="34"/>
  <c r="A2529" i="34"/>
  <c r="A3313" i="34"/>
  <c r="A3317" i="34"/>
  <c r="A3321" i="34"/>
  <c r="A3119" i="34"/>
  <c r="A3123" i="34"/>
  <c r="A3127" i="34"/>
  <c r="A3131" i="34"/>
  <c r="A3135" i="34"/>
  <c r="A3139" i="34"/>
  <c r="A3143" i="34"/>
  <c r="A3147" i="34"/>
  <c r="A3151" i="34"/>
  <c r="A3196" i="34"/>
  <c r="A3200" i="34"/>
  <c r="A3204" i="34"/>
  <c r="A3322" i="34"/>
  <c r="A3096" i="34"/>
  <c r="A3100" i="34"/>
  <c r="A3104" i="34"/>
  <c r="A3108" i="34"/>
  <c r="A3112" i="34"/>
  <c r="A3116" i="34"/>
  <c r="A3158" i="34"/>
  <c r="A3187" i="34"/>
  <c r="A3191" i="34"/>
  <c r="A3195" i="34"/>
  <c r="A3287" i="34"/>
  <c r="A3227" i="34"/>
  <c r="A3245" i="34"/>
  <c r="A3249" i="34"/>
  <c r="A3253" i="34"/>
  <c r="A3257" i="34"/>
  <c r="A3261" i="34"/>
  <c r="A3265" i="34"/>
  <c r="A3269" i="34"/>
  <c r="A3273" i="34"/>
  <c r="A3277" i="34"/>
  <c r="A3281" i="34"/>
  <c r="A2982" i="34"/>
  <c r="A3014" i="34"/>
  <c r="A2996" i="34"/>
  <c r="A3027" i="34"/>
  <c r="A3364" i="34"/>
  <c r="A2992" i="34"/>
  <c r="A3039" i="34"/>
  <c r="A3043" i="34"/>
  <c r="A3047" i="34"/>
  <c r="A3051" i="34"/>
  <c r="A3055" i="34"/>
  <c r="A3059" i="34"/>
  <c r="A3063" i="34"/>
  <c r="A3067" i="34"/>
  <c r="A3071" i="34"/>
  <c r="A3155" i="34"/>
  <c r="A3165" i="34"/>
  <c r="A3169" i="34"/>
  <c r="A3173" i="34"/>
  <c r="A3090" i="34"/>
  <c r="A3086" i="34"/>
  <c r="A3035" i="34"/>
  <c r="A3237" i="34"/>
  <c r="A3233" i="34"/>
  <c r="A3229" i="34"/>
  <c r="A3225" i="34"/>
  <c r="A3221" i="34"/>
  <c r="A3217" i="34"/>
  <c r="A3213" i="34"/>
  <c r="A3181" i="34"/>
  <c r="A3177" i="34"/>
  <c r="A3082" i="34"/>
  <c r="A3078" i="34"/>
  <c r="A3074" i="34"/>
  <c r="A3033" i="34"/>
  <c r="A3024" i="34"/>
  <c r="A3020" i="34"/>
  <c r="A3016" i="34"/>
  <c r="A3012" i="34"/>
  <c r="A3008" i="34"/>
  <c r="A3004" i="34"/>
  <c r="A3000" i="34"/>
  <c r="A2987" i="34"/>
  <c r="A3309" i="34"/>
  <c r="A3305" i="34"/>
  <c r="A3301" i="34"/>
  <c r="A3297" i="34"/>
  <c r="A3293" i="34"/>
  <c r="A3289" i="34"/>
  <c r="A2765" i="34"/>
  <c r="A2870" i="34"/>
  <c r="A2866" i="34"/>
  <c r="A2862" i="34"/>
  <c r="A2650" i="34"/>
  <c r="A2647" i="34"/>
  <c r="A2815" i="34"/>
  <c r="A2781" i="34"/>
  <c r="A2792" i="34"/>
  <c r="A2811" i="34"/>
  <c r="A2606" i="34"/>
  <c r="A2601" i="34"/>
  <c r="A2537" i="34"/>
  <c r="A2595" i="34"/>
  <c r="A2591" i="34"/>
  <c r="A2504" i="34"/>
  <c r="A2539" i="34"/>
  <c r="A2533" i="34"/>
  <c r="A2525" i="34"/>
  <c r="A2973" i="34"/>
  <c r="A2920" i="34"/>
  <c r="A2916" i="34"/>
  <c r="A2860" i="34"/>
  <c r="A2856" i="34"/>
  <c r="A2852" i="34"/>
  <c r="A2848" i="34"/>
  <c r="A2844" i="34"/>
  <c r="A2840" i="34"/>
  <c r="A2836" i="34"/>
  <c r="A2832" i="34"/>
  <c r="A2748" i="34"/>
  <c r="A2740" i="34"/>
  <c r="A2734" i="34"/>
  <c r="A2730" i="34"/>
  <c r="A2722" i="34"/>
  <c r="A2589" i="34"/>
  <c r="A2585" i="34"/>
  <c r="A2581" i="34"/>
  <c r="A2577" i="34"/>
  <c r="A2573" i="34"/>
  <c r="A2516" i="34"/>
  <c r="A2545" i="34"/>
  <c r="A2541" i="34"/>
  <c r="A2522" i="34"/>
  <c r="A3314" i="34"/>
  <c r="A3318" i="34"/>
  <c r="A3036" i="34"/>
  <c r="A3120" i="34"/>
  <c r="A3124" i="34"/>
  <c r="A3128" i="34"/>
  <c r="A3132" i="34"/>
  <c r="A3136" i="34"/>
  <c r="A3140" i="34"/>
  <c r="A3144" i="34"/>
  <c r="A3148" i="34"/>
  <c r="A3159" i="34"/>
  <c r="A3197" i="34"/>
  <c r="A3201" i="34"/>
  <c r="A3205" i="34"/>
  <c r="A3093" i="34"/>
  <c r="A3097" i="34"/>
  <c r="A3101" i="34"/>
  <c r="A3105" i="34"/>
  <c r="A3109" i="34"/>
  <c r="A3113" i="34"/>
  <c r="A3117" i="34"/>
  <c r="A3184" i="34"/>
  <c r="A3188" i="34"/>
  <c r="A3192" i="34"/>
  <c r="A3284" i="34"/>
  <c r="A3288" i="34"/>
  <c r="A3241" i="34"/>
  <c r="A3246" i="34"/>
  <c r="A3250" i="34"/>
  <c r="A3254" i="34"/>
  <c r="A3258" i="34"/>
  <c r="A3262" i="34"/>
  <c r="A3266" i="34"/>
  <c r="A3270" i="34"/>
  <c r="A3274" i="34"/>
  <c r="A3278" i="34"/>
  <c r="A3282" i="34"/>
  <c r="A2984" i="34"/>
  <c r="A3015" i="34"/>
  <c r="A2997" i="34"/>
  <c r="A3028" i="34"/>
  <c r="A3365" i="34"/>
  <c r="A2993" i="34"/>
  <c r="A3040" i="34"/>
  <c r="A3044" i="34"/>
  <c r="A3048" i="34"/>
  <c r="A3052" i="34"/>
  <c r="A3056" i="34"/>
  <c r="A3060" i="34"/>
  <c r="A3064" i="34"/>
  <c r="A3068" i="34"/>
  <c r="A3152" i="34"/>
  <c r="A3162" i="34"/>
  <c r="A3166" i="34"/>
  <c r="A3170" i="34"/>
  <c r="A3174" i="34"/>
  <c r="A3089" i="34"/>
  <c r="A3085" i="34"/>
  <c r="A3240" i="34"/>
  <c r="A3236" i="34"/>
  <c r="A3232" i="34"/>
  <c r="A3228" i="34"/>
  <c r="A3224" i="34"/>
  <c r="A3220" i="34"/>
  <c r="A3216" i="34"/>
  <c r="A3212" i="34"/>
  <c r="A3180" i="34"/>
  <c r="A3176" i="34"/>
  <c r="A3081" i="34"/>
  <c r="A3077" i="34"/>
  <c r="A3073" i="34"/>
  <c r="A3032" i="34"/>
  <c r="A3023" i="34"/>
  <c r="A3019" i="34"/>
  <c r="A3011" i="34"/>
  <c r="A3007" i="34"/>
  <c r="A3003" i="34"/>
  <c r="A2999" i="34"/>
  <c r="A2986" i="34"/>
  <c r="A3308" i="34"/>
  <c r="A3304" i="34"/>
  <c r="A3300" i="34"/>
  <c r="A3296" i="34"/>
  <c r="A3292" i="34"/>
  <c r="A2521" i="34"/>
  <c r="A2869" i="34"/>
  <c r="A2865" i="34"/>
  <c r="A2654" i="34"/>
  <c r="A2661" i="34"/>
  <c r="A2789" i="34"/>
  <c r="A2802" i="34"/>
  <c r="A2791" i="34"/>
  <c r="A2795" i="34"/>
  <c r="A2605" i="34"/>
  <c r="A2600" i="34"/>
  <c r="A2536" i="34"/>
  <c r="A2594" i="34"/>
  <c r="A2590" i="34"/>
  <c r="A2503" i="34"/>
  <c r="A2538" i="34"/>
  <c r="A2532" i="34"/>
  <c r="A2524" i="34"/>
  <c r="A2972" i="34"/>
  <c r="A2919" i="34"/>
  <c r="A2915" i="34"/>
  <c r="A2859" i="34"/>
  <c r="A2855" i="34"/>
  <c r="A2851" i="34"/>
  <c r="A2847" i="34"/>
  <c r="A2843" i="34"/>
  <c r="A2839" i="34"/>
  <c r="A2835" i="34"/>
  <c r="A2753" i="34"/>
  <c r="A2747" i="34"/>
  <c r="A2739" i="34"/>
  <c r="A2764" i="34"/>
  <c r="A2733" i="34"/>
  <c r="A2729" i="34"/>
  <c r="A2718" i="34"/>
  <c r="A2588" i="34"/>
  <c r="A2584" i="34"/>
  <c r="A2580" i="34"/>
  <c r="A2576" i="34"/>
  <c r="A2572" i="34"/>
  <c r="A2515" i="34"/>
  <c r="A2544" i="34"/>
  <c r="A2540" i="34"/>
  <c r="A3307" i="34"/>
  <c r="A3315" i="34"/>
  <c r="A3319" i="34"/>
  <c r="A2995" i="34"/>
  <c r="A3121" i="34"/>
  <c r="A3125" i="34"/>
  <c r="A3129" i="34"/>
  <c r="A3133" i="34"/>
  <c r="A3137" i="34"/>
  <c r="A3141" i="34"/>
  <c r="A3145" i="34"/>
  <c r="A3149" i="34"/>
  <c r="A3160" i="34"/>
  <c r="A3198" i="34"/>
  <c r="A3202" i="34"/>
  <c r="A3206" i="34"/>
  <c r="A3094" i="34"/>
  <c r="A3098" i="34"/>
  <c r="A3102" i="34"/>
  <c r="A3106" i="34"/>
  <c r="A3110" i="34"/>
  <c r="A3114" i="34"/>
  <c r="A3156" i="34"/>
  <c r="A3185" i="34"/>
  <c r="A3189" i="34"/>
  <c r="A3193" i="34"/>
  <c r="A3285" i="34"/>
  <c r="A3299" i="34"/>
  <c r="A3242" i="34"/>
  <c r="A3247" i="34"/>
  <c r="A3251" i="34"/>
  <c r="A3255" i="34"/>
  <c r="A3259" i="34"/>
  <c r="A3263" i="34"/>
  <c r="A3267" i="34"/>
  <c r="A3271" i="34"/>
  <c r="A3275" i="34"/>
  <c r="A3279" i="34"/>
  <c r="A3283" i="34"/>
  <c r="A3006" i="34"/>
  <c r="A2990" i="34"/>
  <c r="A2998" i="34"/>
  <c r="A3208" i="34"/>
  <c r="A3029" i="34"/>
  <c r="A3037" i="34"/>
  <c r="A3041" i="34"/>
  <c r="A3045" i="34"/>
  <c r="A3049" i="34"/>
  <c r="A3053" i="34"/>
  <c r="A3057" i="34"/>
  <c r="A3061" i="34"/>
  <c r="A3065" i="34"/>
  <c r="A3069" i="34"/>
  <c r="A3153" i="34"/>
  <c r="A3163" i="34"/>
  <c r="A3167" i="34"/>
  <c r="A3171" i="34"/>
  <c r="A3092" i="34"/>
  <c r="A3088" i="34"/>
  <c r="A3084" i="34"/>
  <c r="A3239" i="34"/>
  <c r="A3235" i="34"/>
  <c r="A3231" i="34"/>
  <c r="A3223" i="34"/>
  <c r="A3219" i="34"/>
  <c r="A3215" i="34"/>
  <c r="A3183" i="34"/>
  <c r="A3179" i="34"/>
  <c r="A3080" i="34"/>
  <c r="A3076" i="34"/>
  <c r="A3072" i="34"/>
  <c r="A3031" i="34"/>
  <c r="A3022" i="34"/>
  <c r="A3018" i="34"/>
  <c r="A3010" i="34"/>
  <c r="A3002" i="34"/>
  <c r="A2989" i="34"/>
  <c r="A2985" i="34"/>
  <c r="A3311" i="34"/>
  <c r="A3303" i="34"/>
  <c r="A3295" i="34"/>
  <c r="A3291" i="34"/>
  <c r="B2416" i="34" l="1"/>
  <c r="B2415" i="34"/>
  <c r="B2414" i="34"/>
  <c r="B2393" i="34"/>
  <c r="B2418" i="34"/>
  <c r="B2417" i="34"/>
  <c r="B2419" i="34"/>
  <c r="B2388" i="34"/>
  <c r="B2387" i="34"/>
  <c r="B2386" i="34"/>
  <c r="B2385" i="34"/>
  <c r="B2390" i="34"/>
  <c r="B2389" i="34"/>
  <c r="B2391" i="34"/>
  <c r="B2351" i="34"/>
  <c r="B2350" i="34"/>
  <c r="B2349" i="34"/>
  <c r="B2383" i="34"/>
  <c r="B2352" i="34"/>
  <c r="B3361" i="34"/>
  <c r="B2950" i="34"/>
  <c r="B2451" i="34"/>
  <c r="A2351" i="34" l="1"/>
  <c r="A2383" i="34"/>
  <c r="A2391" i="34"/>
  <c r="A2415" i="34"/>
  <c r="A2950" i="34"/>
  <c r="A2349" i="34"/>
  <c r="A2389" i="34"/>
  <c r="A2387" i="34"/>
  <c r="A2416" i="34"/>
  <c r="A3361" i="34"/>
  <c r="A2350" i="34"/>
  <c r="A2390" i="34"/>
  <c r="A2388" i="34"/>
  <c r="A2393" i="34"/>
  <c r="A2352" i="34"/>
  <c r="A2385" i="34"/>
  <c r="A2419" i="34"/>
  <c r="A2414" i="34"/>
  <c r="A2417" i="34"/>
  <c r="A2451" i="34"/>
  <c r="A2386" i="34"/>
  <c r="A2418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75" i="34"/>
  <c r="B2174" i="34"/>
  <c r="B2173" i="34"/>
  <c r="B2172" i="34"/>
  <c r="B2156" i="34"/>
  <c r="B2155" i="34"/>
  <c r="B2154" i="34"/>
  <c r="B2153" i="34"/>
  <c r="B2152" i="34"/>
  <c r="B2151" i="34"/>
  <c r="B2150" i="34"/>
  <c r="B2149" i="34"/>
  <c r="B2127" i="34"/>
  <c r="B2126" i="34"/>
  <c r="B2125" i="34"/>
  <c r="B2124" i="34"/>
  <c r="B2123" i="34"/>
  <c r="B2122" i="34"/>
  <c r="B2121" i="34"/>
  <c r="B2120" i="34"/>
  <c r="B2119" i="34"/>
  <c r="B2096" i="34"/>
  <c r="B2068" i="34"/>
  <c r="B2067" i="34"/>
  <c r="B2066" i="34"/>
  <c r="B2065" i="34"/>
  <c r="B2064" i="34"/>
  <c r="B2063" i="34"/>
  <c r="B2062" i="34"/>
  <c r="B2061" i="34"/>
  <c r="B2026" i="34"/>
  <c r="B1995" i="34"/>
  <c r="B1994" i="34"/>
  <c r="B1993" i="34"/>
  <c r="B1992" i="34"/>
  <c r="B1991" i="34"/>
  <c r="B1990" i="34"/>
  <c r="B1989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754" i="34"/>
  <c r="B1727" i="34"/>
  <c r="B1723" i="34"/>
  <c r="B1722" i="34"/>
  <c r="B1721" i="34"/>
  <c r="B1720" i="34"/>
  <c r="B1703" i="34"/>
  <c r="B1702" i="34"/>
  <c r="B1673" i="34"/>
  <c r="B1672" i="34"/>
  <c r="B1671" i="34"/>
  <c r="B1670" i="34"/>
  <c r="B1663" i="34"/>
  <c r="B1662" i="34"/>
  <c r="B1661" i="34"/>
  <c r="B1660" i="34"/>
  <c r="B1659" i="34"/>
  <c r="B1574" i="34"/>
  <c r="B1515" i="34"/>
  <c r="B1500" i="34"/>
  <c r="B1499" i="34"/>
  <c r="B1484" i="34"/>
  <c r="B1475" i="34"/>
  <c r="B1469" i="34"/>
  <c r="B1468" i="34"/>
  <c r="B1467" i="34"/>
  <c r="B1942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270" i="34"/>
  <c r="B2233" i="34"/>
  <c r="B2354" i="34"/>
  <c r="B2353" i="34"/>
  <c r="B2279" i="34"/>
  <c r="B2278" i="34"/>
  <c r="B2277" i="34"/>
  <c r="B2276" i="34"/>
  <c r="B2275" i="34"/>
  <c r="B2274" i="34"/>
  <c r="B2273" i="34"/>
  <c r="B2272" i="34"/>
  <c r="B2302" i="34"/>
  <c r="B2301" i="34"/>
  <c r="B2300" i="34"/>
  <c r="B2299" i="34"/>
  <c r="B2298" i="34"/>
  <c r="B2297" i="34"/>
  <c r="B2296" i="34"/>
  <c r="B2295" i="34"/>
  <c r="B2294" i="34"/>
  <c r="B2293" i="34"/>
  <c r="B2269" i="34"/>
  <c r="B2268" i="34"/>
  <c r="B2267" i="34"/>
  <c r="B2266" i="34"/>
  <c r="B2265" i="34"/>
  <c r="B2264" i="34"/>
  <c r="B2263" i="34"/>
  <c r="B2262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61" i="34"/>
  <c r="B2260" i="34"/>
  <c r="B2232" i="34"/>
  <c r="B2231" i="34"/>
  <c r="B2243" i="34"/>
  <c r="B2242" i="34"/>
  <c r="B2241" i="34"/>
  <c r="B2227" i="34"/>
  <c r="B2226" i="34"/>
  <c r="B2441" i="34"/>
  <c r="B2440" i="34"/>
  <c r="B2439" i="34"/>
  <c r="B2422" i="34"/>
  <c r="B2421" i="34"/>
  <c r="B2420" i="34"/>
  <c r="B2392" i="34"/>
  <c r="B2384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455" i="34"/>
  <c r="B2454" i="34"/>
  <c r="B2453" i="34"/>
  <c r="B2449" i="34"/>
  <c r="B2448" i="34"/>
  <c r="B2447" i="34"/>
  <c r="B2446" i="34"/>
  <c r="B2337" i="34"/>
  <c r="B2336" i="34"/>
  <c r="B2335" i="34"/>
  <c r="B2334" i="34"/>
  <c r="B2333" i="34"/>
  <c r="B2331" i="34"/>
  <c r="B2329" i="34"/>
  <c r="B2328" i="34"/>
  <c r="B2327" i="34"/>
  <c r="B2259" i="34"/>
  <c r="B2239" i="34"/>
  <c r="B2238" i="34"/>
  <c r="B2237" i="34"/>
  <c r="B2236" i="34"/>
  <c r="B2235" i="34"/>
  <c r="B2230" i="34"/>
  <c r="B2229" i="34"/>
  <c r="B2228" i="34"/>
  <c r="B3362" i="34"/>
  <c r="B3360" i="34"/>
  <c r="B2951" i="34"/>
  <c r="B2949" i="34"/>
  <c r="B2452" i="34"/>
  <c r="B2450" i="34"/>
  <c r="B2223" i="34"/>
  <c r="B2222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10" i="34"/>
  <c r="B2509" i="34"/>
  <c r="B2507" i="34"/>
  <c r="B2745" i="34"/>
  <c r="B2520" i="34"/>
  <c r="B2519" i="34"/>
  <c r="B2518" i="34"/>
  <c r="B2502" i="34"/>
  <c r="B2501" i="34"/>
  <c r="B2500" i="34"/>
  <c r="B2499" i="34"/>
  <c r="B2498" i="34"/>
  <c r="B2497" i="34"/>
  <c r="B2496" i="34"/>
  <c r="B2495" i="34"/>
  <c r="B2494" i="34"/>
  <c r="B2493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48" i="34"/>
  <c r="B2947" i="34"/>
  <c r="B2946" i="34"/>
  <c r="B2945" i="34"/>
  <c r="B2944" i="34"/>
  <c r="B2943" i="34"/>
  <c r="B2937" i="34"/>
  <c r="B2936" i="34"/>
  <c r="B2935" i="34"/>
  <c r="B2934" i="34"/>
  <c r="B2933" i="34"/>
  <c r="B2932" i="34"/>
  <c r="B2931" i="34"/>
  <c r="B2930" i="34"/>
  <c r="B2929" i="34"/>
  <c r="B2906" i="34"/>
  <c r="B2905" i="34"/>
  <c r="B2904" i="34"/>
  <c r="B2903" i="34"/>
  <c r="B2901" i="34"/>
  <c r="B2899" i="34"/>
  <c r="B2898" i="34"/>
  <c r="B2897" i="34"/>
  <c r="B2658" i="34"/>
  <c r="B2610" i="34"/>
  <c r="B2609" i="34"/>
  <c r="B2608" i="34"/>
  <c r="B2492" i="34"/>
  <c r="B2491" i="34"/>
  <c r="B2472" i="34"/>
  <c r="B2471" i="34"/>
  <c r="B2457" i="34"/>
  <c r="B2445" i="34"/>
  <c r="B2444" i="34"/>
  <c r="B2438" i="34"/>
  <c r="B2437" i="34"/>
  <c r="B2436" i="34"/>
  <c r="B2435" i="34"/>
  <c r="B2434" i="34"/>
  <c r="B2433" i="34"/>
  <c r="B2432" i="34"/>
  <c r="B2431" i="34"/>
  <c r="B2413" i="34"/>
  <c r="B2412" i="34"/>
  <c r="B2411" i="34"/>
  <c r="B2410" i="34"/>
  <c r="B2409" i="34"/>
  <c r="B2408" i="34"/>
  <c r="B2407" i="34"/>
  <c r="B2406" i="34"/>
  <c r="B2405" i="34"/>
  <c r="B2404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271" i="34"/>
  <c r="B2234" i="34"/>
  <c r="B2443" i="34"/>
  <c r="B2442" i="34"/>
  <c r="B2430" i="34"/>
  <c r="B2429" i="34"/>
  <c r="B2428" i="34"/>
  <c r="B2427" i="34"/>
  <c r="B2426" i="34"/>
  <c r="B2425" i="34"/>
  <c r="B2424" i="34"/>
  <c r="B2423" i="34"/>
  <c r="B2403" i="34"/>
  <c r="B2402" i="34"/>
  <c r="B2401" i="34"/>
  <c r="B2400" i="34"/>
  <c r="B2399" i="34"/>
  <c r="B2398" i="34"/>
  <c r="B2397" i="34"/>
  <c r="B2396" i="34"/>
  <c r="B2395" i="34"/>
  <c r="B2394" i="34"/>
  <c r="B2368" i="34"/>
  <c r="B2367" i="34"/>
  <c r="B2366" i="34"/>
  <c r="B2657" i="34"/>
  <c r="B2638" i="34"/>
  <c r="B2637" i="34"/>
  <c r="B2636" i="34"/>
  <c r="B2635" i="34"/>
  <c r="B2634" i="34"/>
  <c r="B2633" i="34"/>
  <c r="B2631" i="34"/>
  <c r="B2630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552" i="34"/>
  <c r="B2551" i="34"/>
  <c r="B2550" i="34"/>
  <c r="B2549" i="34"/>
  <c r="B2548" i="34"/>
  <c r="B2547" i="34"/>
  <c r="B2546" i="34"/>
  <c r="B2514" i="34"/>
  <c r="B2513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68" i="34"/>
  <c r="B2467" i="34"/>
  <c r="B2466" i="34"/>
  <c r="B2465" i="34"/>
  <c r="B2464" i="34"/>
  <c r="B2463" i="34"/>
  <c r="B2462" i="34"/>
  <c r="B2970" i="34"/>
  <c r="B2969" i="34"/>
  <c r="B2968" i="34"/>
  <c r="B2967" i="34"/>
  <c r="B2966" i="34"/>
  <c r="B2965" i="34"/>
  <c r="B2964" i="34"/>
  <c r="B2914" i="34"/>
  <c r="B2913" i="34"/>
  <c r="B2912" i="34"/>
  <c r="B2911" i="34"/>
  <c r="B2910" i="34"/>
  <c r="B2909" i="34"/>
  <c r="B2908" i="34"/>
  <c r="B2907" i="34"/>
  <c r="B2459" i="34"/>
  <c r="B2458" i="34"/>
  <c r="B2831" i="34"/>
  <c r="B2830" i="34"/>
  <c r="B2829" i="34"/>
  <c r="B2828" i="34"/>
  <c r="B2827" i="34"/>
  <c r="B2826" i="34"/>
  <c r="B2825" i="34"/>
  <c r="B2824" i="34"/>
  <c r="B2823" i="34"/>
  <c r="B2822" i="34"/>
  <c r="B2728" i="34"/>
  <c r="B2727" i="34"/>
  <c r="B2726" i="34"/>
  <c r="B2725" i="34"/>
  <c r="B2776" i="34"/>
  <c r="B2775" i="34"/>
  <c r="B2818" i="34"/>
  <c r="B2817" i="34"/>
  <c r="B2686" i="34"/>
  <c r="B2685" i="34"/>
  <c r="B2684" i="34"/>
  <c r="B2750" i="34"/>
  <c r="B2749" i="34"/>
  <c r="B2744" i="34"/>
  <c r="B2743" i="34"/>
  <c r="B2742" i="34"/>
  <c r="B2769" i="34"/>
  <c r="B2768" i="34"/>
  <c r="B2759" i="34"/>
  <c r="B2758" i="34"/>
  <c r="B2689" i="34"/>
  <c r="B2688" i="34"/>
  <c r="B2687" i="34"/>
  <c r="B2683" i="34"/>
  <c r="B2682" i="34"/>
  <c r="B2681" i="34"/>
  <c r="B2680" i="34"/>
  <c r="B2679" i="34"/>
  <c r="B2678" i="34"/>
  <c r="B2676" i="34"/>
  <c r="B2675" i="34"/>
  <c r="B2674" i="34"/>
  <c r="B2673" i="34"/>
  <c r="B2672" i="34"/>
  <c r="B2671" i="34"/>
  <c r="B2670" i="34"/>
  <c r="B2669" i="34"/>
  <c r="B2668" i="34"/>
  <c r="B2667" i="34"/>
  <c r="B2664" i="34"/>
  <c r="B2663" i="34"/>
  <c r="B2662" i="34"/>
  <c r="B2659" i="34"/>
  <c r="B2571" i="34"/>
  <c r="B2570" i="34"/>
  <c r="B2569" i="34"/>
  <c r="B2568" i="34"/>
  <c r="B2567" i="34"/>
  <c r="B2566" i="34"/>
  <c r="B2565" i="34"/>
  <c r="A1023" i="34" l="1"/>
  <c r="A1077" i="34"/>
  <c r="A1085" i="34"/>
  <c r="A1160" i="34"/>
  <c r="A1166" i="34"/>
  <c r="A1233" i="34"/>
  <c r="A1242" i="34"/>
  <c r="A1373" i="34"/>
  <c r="A1398" i="34"/>
  <c r="A1469" i="34"/>
  <c r="A1500" i="34"/>
  <c r="A1660" i="34"/>
  <c r="A1670" i="34"/>
  <c r="A1024" i="34"/>
  <c r="A1078" i="34"/>
  <c r="A1087" i="34"/>
  <c r="A1163" i="34"/>
  <c r="A1167" i="34"/>
  <c r="A1234" i="34"/>
  <c r="A1370" i="34"/>
  <c r="A1395" i="34"/>
  <c r="A1942" i="34"/>
  <c r="A1475" i="34"/>
  <c r="A1515" i="34"/>
  <c r="A1661" i="34"/>
  <c r="A1671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62" i="34"/>
  <c r="A1672" i="34"/>
  <c r="A1076" i="34"/>
  <c r="A1084" i="34"/>
  <c r="A1159" i="34"/>
  <c r="A1165" i="34"/>
  <c r="A1232" i="34"/>
  <c r="A1241" i="34"/>
  <c r="A1372" i="34"/>
  <c r="A1397" i="34"/>
  <c r="A1468" i="34"/>
  <c r="A1499" i="34"/>
  <c r="A1659" i="34"/>
  <c r="A1663" i="34"/>
  <c r="A1673" i="34"/>
  <c r="A2571" i="34"/>
  <c r="A2659" i="34"/>
  <c r="A2565" i="34"/>
  <c r="A2662" i="34"/>
  <c r="A2672" i="34"/>
  <c r="A2679" i="34"/>
  <c r="A2687" i="34"/>
  <c r="A2759" i="34"/>
  <c r="A2742" i="34"/>
  <c r="A2750" i="34"/>
  <c r="A2817" i="34"/>
  <c r="A2725" i="34"/>
  <c r="A2822" i="34"/>
  <c r="A2826" i="34"/>
  <c r="A2830" i="34"/>
  <c r="A2907" i="34"/>
  <c r="A2911" i="34"/>
  <c r="A2964" i="34"/>
  <c r="A2968" i="34"/>
  <c r="A2463" i="34"/>
  <c r="A2467" i="34"/>
  <c r="A2475" i="34"/>
  <c r="A2479" i="34"/>
  <c r="A2483" i="34"/>
  <c r="A2487" i="34"/>
  <c r="A2513" i="34"/>
  <c r="A2548" i="34"/>
  <c r="A2552" i="34"/>
  <c r="A2614" i="34"/>
  <c r="A2618" i="34"/>
  <c r="A2622" i="34"/>
  <c r="A2626" i="34"/>
  <c r="A2631" i="34"/>
  <c r="A2636" i="34"/>
  <c r="A2366" i="34"/>
  <c r="A2395" i="34"/>
  <c r="A2399" i="34"/>
  <c r="A2403" i="34"/>
  <c r="A2426" i="34"/>
  <c r="A2430" i="34"/>
  <c r="A2271" i="34"/>
  <c r="A2318" i="34"/>
  <c r="A2322" i="34"/>
  <c r="A2326" i="34"/>
  <c r="A2372" i="34"/>
  <c r="A2376" i="34"/>
  <c r="A2380" i="34"/>
  <c r="A2405" i="34"/>
  <c r="A2409" i="34"/>
  <c r="A2413" i="34"/>
  <c r="A2434" i="34"/>
  <c r="A2438" i="34"/>
  <c r="A2471" i="34"/>
  <c r="A2608" i="34"/>
  <c r="A2897" i="34"/>
  <c r="A2903" i="34"/>
  <c r="A2929" i="34"/>
  <c r="A2933" i="34"/>
  <c r="A2937" i="34"/>
  <c r="A2946" i="34"/>
  <c r="A2953" i="34"/>
  <c r="A2957" i="34"/>
  <c r="A2961" i="34"/>
  <c r="A2494" i="34"/>
  <c r="A2498" i="34"/>
  <c r="A2502" i="34"/>
  <c r="A2745" i="34"/>
  <c r="A2553" i="34"/>
  <c r="A2557" i="34"/>
  <c r="A2561" i="34"/>
  <c r="A2222" i="34"/>
  <c r="A2949" i="34"/>
  <c r="A2228" i="34"/>
  <c r="A2236" i="34"/>
  <c r="A2259" i="34"/>
  <c r="A2331" i="34"/>
  <c r="A2336" i="34"/>
  <c r="A2448" i="34"/>
  <c r="A2455" i="34"/>
  <c r="A2283" i="34"/>
  <c r="A2287" i="34"/>
  <c r="A2291" i="34"/>
  <c r="A2340" i="34"/>
  <c r="A2344" i="34"/>
  <c r="A2348" i="34"/>
  <c r="A2421" i="34"/>
  <c r="A2441" i="34"/>
  <c r="A2242" i="34"/>
  <c r="A2260" i="34"/>
  <c r="A2246" i="34"/>
  <c r="A2250" i="34"/>
  <c r="A2254" i="34"/>
  <c r="A2258" i="34"/>
  <c r="A2265" i="34"/>
  <c r="A2269" i="34"/>
  <c r="A2296" i="34"/>
  <c r="A2300" i="34"/>
  <c r="A2273" i="34"/>
  <c r="A2277" i="34"/>
  <c r="A2354" i="34"/>
  <c r="A2304" i="34"/>
  <c r="A2308" i="34"/>
  <c r="A2312" i="34"/>
  <c r="A2356" i="34"/>
  <c r="A2360" i="34"/>
  <c r="A2364" i="34"/>
  <c r="A1702" i="34"/>
  <c r="A1720" i="34"/>
  <c r="A1721" i="34"/>
  <c r="A1723" i="34"/>
  <c r="A1754" i="34"/>
  <c r="A1962" i="34"/>
  <c r="A1964" i="34"/>
  <c r="A1966" i="34"/>
  <c r="A1968" i="34"/>
  <c r="A1970" i="34"/>
  <c r="A1972" i="34"/>
  <c r="A1989" i="34"/>
  <c r="A1991" i="34"/>
  <c r="A1993" i="34"/>
  <c r="A1995" i="34"/>
  <c r="A2061" i="34"/>
  <c r="A2063" i="34"/>
  <c r="A2065" i="34"/>
  <c r="A2067" i="34"/>
  <c r="A2096" i="34"/>
  <c r="A2120" i="34"/>
  <c r="A2122" i="34"/>
  <c r="A2124" i="34"/>
  <c r="A2126" i="34"/>
  <c r="A2149" i="34"/>
  <c r="A2151" i="34"/>
  <c r="A2153" i="34"/>
  <c r="A2155" i="34"/>
  <c r="A2172" i="34"/>
  <c r="A2174" i="34"/>
  <c r="A2202" i="34"/>
  <c r="A2204" i="34"/>
  <c r="A2206" i="34"/>
  <c r="A2208" i="34"/>
  <c r="A2210" i="34"/>
  <c r="A2212" i="34"/>
  <c r="A2670" i="34"/>
  <c r="A2667" i="34"/>
  <c r="A2678" i="34"/>
  <c r="A2569" i="34"/>
  <c r="A2668" i="34"/>
  <c r="A2675" i="34"/>
  <c r="A2566" i="34"/>
  <c r="A2570" i="34"/>
  <c r="A2663" i="34"/>
  <c r="A2669" i="34"/>
  <c r="A2673" i="34"/>
  <c r="A2682" i="34"/>
  <c r="A2688" i="34"/>
  <c r="A2768" i="34"/>
  <c r="A2743" i="34"/>
  <c r="A2684" i="34"/>
  <c r="A2818" i="34"/>
  <c r="A2726" i="34"/>
  <c r="A2823" i="34"/>
  <c r="A2827" i="34"/>
  <c r="A2831" i="34"/>
  <c r="A2908" i="34"/>
  <c r="A2912" i="34"/>
  <c r="A2965" i="34"/>
  <c r="A2969" i="34"/>
  <c r="A2464" i="34"/>
  <c r="A2468" i="34"/>
  <c r="A2476" i="34"/>
  <c r="A2480" i="34"/>
  <c r="A2484" i="34"/>
  <c r="A2488" i="34"/>
  <c r="A2514" i="34"/>
  <c r="A2549" i="34"/>
  <c r="A2611" i="34"/>
  <c r="A2615" i="34"/>
  <c r="A2619" i="34"/>
  <c r="A2623" i="34"/>
  <c r="A2627" i="34"/>
  <c r="A2633" i="34"/>
  <c r="A2637" i="34"/>
  <c r="A2367" i="34"/>
  <c r="A2396" i="34"/>
  <c r="A2400" i="34"/>
  <c r="A2423" i="34"/>
  <c r="A2427" i="34"/>
  <c r="A2442" i="34"/>
  <c r="A2315" i="34"/>
  <c r="A2319" i="34"/>
  <c r="A2323" i="34"/>
  <c r="A2369" i="34"/>
  <c r="A2373" i="34"/>
  <c r="A2377" i="34"/>
  <c r="A2381" i="34"/>
  <c r="A2406" i="34"/>
  <c r="A2410" i="34"/>
  <c r="A2431" i="34"/>
  <c r="A2435" i="34"/>
  <c r="A2444" i="34"/>
  <c r="A2472" i="34"/>
  <c r="A2609" i="34"/>
  <c r="A2898" i="34"/>
  <c r="A2904" i="34"/>
  <c r="A2930" i="34"/>
  <c r="A2934" i="34"/>
  <c r="A2943" i="34"/>
  <c r="A2947" i="34"/>
  <c r="A2954" i="34"/>
  <c r="A2958" i="34"/>
  <c r="A2962" i="34"/>
  <c r="A2495" i="34"/>
  <c r="A2499" i="34"/>
  <c r="A2518" i="34"/>
  <c r="A2507" i="34"/>
  <c r="A2554" i="34"/>
  <c r="A2558" i="34"/>
  <c r="A2562" i="34"/>
  <c r="A2223" i="34"/>
  <c r="A2951" i="34"/>
  <c r="A2229" i="34"/>
  <c r="A2237" i="34"/>
  <c r="A2327" i="34"/>
  <c r="A2333" i="34"/>
  <c r="A2337" i="34"/>
  <c r="A2449" i="34"/>
  <c r="A2280" i="34"/>
  <c r="A2284" i="34"/>
  <c r="A2288" i="34"/>
  <c r="A2292" i="34"/>
  <c r="A2341" i="34"/>
  <c r="A2345" i="34"/>
  <c r="A2384" i="34"/>
  <c r="A2422" i="34"/>
  <c r="A2226" i="34"/>
  <c r="A2243" i="34"/>
  <c r="A2261" i="34"/>
  <c r="A2247" i="34"/>
  <c r="A2251" i="34"/>
  <c r="A2255" i="34"/>
  <c r="A2262" i="34"/>
  <c r="A2266" i="34"/>
  <c r="A2293" i="34"/>
  <c r="A2297" i="34"/>
  <c r="A2301" i="34"/>
  <c r="A2274" i="34"/>
  <c r="A2278" i="34"/>
  <c r="A2233" i="34"/>
  <c r="A2305" i="34"/>
  <c r="A2309" i="34"/>
  <c r="A2313" i="34"/>
  <c r="A2357" i="34"/>
  <c r="A2361" i="34"/>
  <c r="A2365" i="34"/>
  <c r="A2664" i="34"/>
  <c r="A2674" i="34"/>
  <c r="A2676" i="34"/>
  <c r="A2680" i="34"/>
  <c r="A2683" i="34"/>
  <c r="A2689" i="34"/>
  <c r="A2769" i="34"/>
  <c r="A2744" i="34"/>
  <c r="A2685" i="34"/>
  <c r="A2775" i="34"/>
  <c r="A2727" i="34"/>
  <c r="A2824" i="34"/>
  <c r="A2828" i="34"/>
  <c r="A2458" i="34"/>
  <c r="A2909" i="34"/>
  <c r="A2913" i="34"/>
  <c r="A2966" i="34"/>
  <c r="A2970" i="34"/>
  <c r="A2465" i="34"/>
  <c r="A2473" i="34"/>
  <c r="A2477" i="34"/>
  <c r="A2481" i="34"/>
  <c r="A2485" i="34"/>
  <c r="A2489" i="34"/>
  <c r="A2546" i="34"/>
  <c r="A2550" i="34"/>
  <c r="A2612" i="34"/>
  <c r="A2616" i="34"/>
  <c r="A2620" i="34"/>
  <c r="A2624" i="34"/>
  <c r="A2628" i="34"/>
  <c r="A2634" i="34"/>
  <c r="A2638" i="34"/>
  <c r="A2368" i="34"/>
  <c r="A2397" i="34"/>
  <c r="A2401" i="34"/>
  <c r="A2424" i="34"/>
  <c r="A2428" i="34"/>
  <c r="A2443" i="34"/>
  <c r="A2316" i="34"/>
  <c r="A2320" i="34"/>
  <c r="A2324" i="34"/>
  <c r="A2370" i="34"/>
  <c r="A2374" i="34"/>
  <c r="A2378" i="34"/>
  <c r="A2382" i="34"/>
  <c r="A2407" i="34"/>
  <c r="A2411" i="34"/>
  <c r="A2432" i="34"/>
  <c r="A2436" i="34"/>
  <c r="A2445" i="34"/>
  <c r="A2491" i="34"/>
  <c r="A2610" i="34"/>
  <c r="A2899" i="34"/>
  <c r="A2905" i="34"/>
  <c r="A2931" i="34"/>
  <c r="A2935" i="34"/>
  <c r="A2944" i="34"/>
  <c r="A2948" i="34"/>
  <c r="A2955" i="34"/>
  <c r="A2959" i="34"/>
  <c r="A2963" i="34"/>
  <c r="A2496" i="34"/>
  <c r="A2500" i="34"/>
  <c r="A2519" i="34"/>
  <c r="A2509" i="34"/>
  <c r="A2555" i="34"/>
  <c r="A2559" i="34"/>
  <c r="A2563" i="34"/>
  <c r="A2450" i="34"/>
  <c r="A3360" i="34"/>
  <c r="A2230" i="34"/>
  <c r="A2238" i="34"/>
  <c r="A2328" i="34"/>
  <c r="A2334" i="34"/>
  <c r="A2446" i="34"/>
  <c r="A2453" i="34"/>
  <c r="A2281" i="34"/>
  <c r="A2285" i="34"/>
  <c r="A2289" i="34"/>
  <c r="A2338" i="34"/>
  <c r="A2342" i="34"/>
  <c r="A2346" i="34"/>
  <c r="A2392" i="34"/>
  <c r="A2439" i="34"/>
  <c r="A2227" i="34"/>
  <c r="A2231" i="34"/>
  <c r="A2244" i="34"/>
  <c r="A2248" i="34"/>
  <c r="A2252" i="34"/>
  <c r="A2256" i="34"/>
  <c r="A2263" i="34"/>
  <c r="A2267" i="34"/>
  <c r="A2294" i="34"/>
  <c r="A2298" i="34"/>
  <c r="A2302" i="34"/>
  <c r="A2275" i="34"/>
  <c r="A2279" i="34"/>
  <c r="A2270" i="34"/>
  <c r="A2306" i="34"/>
  <c r="A2310" i="34"/>
  <c r="A2314" i="34"/>
  <c r="A2358" i="34"/>
  <c r="A2362" i="34"/>
  <c r="A1703" i="34"/>
  <c r="A1722" i="34"/>
  <c r="A1727" i="34"/>
  <c r="A1961" i="34"/>
  <c r="A1963" i="34"/>
  <c r="A1965" i="34"/>
  <c r="A1967" i="34"/>
  <c r="A1969" i="34"/>
  <c r="A1971" i="34"/>
  <c r="A1973" i="34"/>
  <c r="A1990" i="34"/>
  <c r="A1992" i="34"/>
  <c r="A1994" i="34"/>
  <c r="A2026" i="34"/>
  <c r="A2062" i="34"/>
  <c r="A2064" i="34"/>
  <c r="A2066" i="34"/>
  <c r="A2068" i="34"/>
  <c r="A2119" i="34"/>
  <c r="A2121" i="34"/>
  <c r="A2123" i="34"/>
  <c r="A2125" i="34"/>
  <c r="A2127" i="34"/>
  <c r="A2150" i="34"/>
  <c r="A2152" i="34"/>
  <c r="A2154" i="34"/>
  <c r="A2156" i="34"/>
  <c r="A2173" i="34"/>
  <c r="A2175" i="34"/>
  <c r="A2203" i="34"/>
  <c r="A2205" i="34"/>
  <c r="A2207" i="34"/>
  <c r="A2209" i="34"/>
  <c r="A2211" i="34"/>
  <c r="A2567" i="34"/>
  <c r="A2568" i="34"/>
  <c r="A2671" i="34"/>
  <c r="A2681" i="34"/>
  <c r="A2758" i="34"/>
  <c r="A2749" i="34"/>
  <c r="A2686" i="34"/>
  <c r="A2776" i="34"/>
  <c r="A2728" i="34"/>
  <c r="A2825" i="34"/>
  <c r="A2829" i="34"/>
  <c r="A2459" i="34"/>
  <c r="A2910" i="34"/>
  <c r="A2914" i="34"/>
  <c r="A2967" i="34"/>
  <c r="A2462" i="34"/>
  <c r="A2466" i="34"/>
  <c r="A2474" i="34"/>
  <c r="A2478" i="34"/>
  <c r="A2482" i="34"/>
  <c r="A2486" i="34"/>
  <c r="A2490" i="34"/>
  <c r="A2547" i="34"/>
  <c r="A2551" i="34"/>
  <c r="A2613" i="34"/>
  <c r="A2617" i="34"/>
  <c r="A2621" i="34"/>
  <c r="A2625" i="34"/>
  <c r="A2630" i="34"/>
  <c r="A2635" i="34"/>
  <c r="A2657" i="34"/>
  <c r="A2394" i="34"/>
  <c r="A2398" i="34"/>
  <c r="A2402" i="34"/>
  <c r="A2425" i="34"/>
  <c r="A2429" i="34"/>
  <c r="A2234" i="34"/>
  <c r="A2317" i="34"/>
  <c r="A2321" i="34"/>
  <c r="A2325" i="34"/>
  <c r="A2371" i="34"/>
  <c r="A2375" i="34"/>
  <c r="A2379" i="34"/>
  <c r="A2404" i="34"/>
  <c r="A2408" i="34"/>
  <c r="A2412" i="34"/>
  <c r="A2433" i="34"/>
  <c r="A2437" i="34"/>
  <c r="A2457" i="34"/>
  <c r="A2492" i="34"/>
  <c r="A2658" i="34"/>
  <c r="A2901" i="34"/>
  <c r="A2906" i="34"/>
  <c r="A2932" i="34"/>
  <c r="A2936" i="34"/>
  <c r="A2945" i="34"/>
  <c r="A2952" i="34"/>
  <c r="A2956" i="34"/>
  <c r="A2960" i="34"/>
  <c r="A2493" i="34"/>
  <c r="A2497" i="34"/>
  <c r="A2501" i="34"/>
  <c r="A2520" i="34"/>
  <c r="A2510" i="34"/>
  <c r="A2556" i="34"/>
  <c r="A2560" i="34"/>
  <c r="A2564" i="34"/>
  <c r="A2452" i="34"/>
  <c r="A3362" i="34"/>
  <c r="A2235" i="34"/>
  <c r="A2239" i="34"/>
  <c r="A2329" i="34"/>
  <c r="A2335" i="34"/>
  <c r="A2447" i="34"/>
  <c r="A2454" i="34"/>
  <c r="A2282" i="34"/>
  <c r="A2286" i="34"/>
  <c r="A2290" i="34"/>
  <c r="A2339" i="34"/>
  <c r="A2343" i="34"/>
  <c r="A2347" i="34"/>
  <c r="A2420" i="34"/>
  <c r="A2440" i="34"/>
  <c r="A2241" i="34"/>
  <c r="A2232" i="34"/>
  <c r="A2245" i="34"/>
  <c r="A2249" i="34"/>
  <c r="A2253" i="34"/>
  <c r="A2257" i="34"/>
  <c r="A2264" i="34"/>
  <c r="A2268" i="34"/>
  <c r="A2295" i="34"/>
  <c r="A2299" i="34"/>
  <c r="A2272" i="34"/>
  <c r="A2276" i="34"/>
  <c r="A2353" i="34"/>
  <c r="A2303" i="34"/>
  <c r="A2307" i="34"/>
  <c r="A2311" i="34"/>
  <c r="A2355" i="34"/>
  <c r="A2359" i="34"/>
  <c r="A2363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38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90" i="34"/>
  <c r="B1591" i="34"/>
  <c r="B1592" i="34"/>
  <c r="B1593" i="34"/>
  <c r="B1594" i="34"/>
  <c r="B1595" i="34"/>
  <c r="B1596" i="34"/>
  <c r="B1600" i="34"/>
  <c r="B1601" i="34"/>
  <c r="B1602" i="34"/>
  <c r="B1603" i="34"/>
  <c r="B1604" i="34"/>
  <c r="B1605" i="34"/>
  <c r="B1621" i="34"/>
  <c r="B1622" i="34"/>
  <c r="B1742" i="34"/>
  <c r="B1743" i="34"/>
  <c r="B1744" i="34"/>
  <c r="B1745" i="34"/>
  <c r="B1746" i="34"/>
  <c r="B1747" i="34"/>
  <c r="B1748" i="34"/>
  <c r="B1999" i="34"/>
  <c r="B2000" i="34"/>
  <c r="B2001" i="34"/>
  <c r="B2002" i="34"/>
  <c r="B2003" i="34"/>
  <c r="B2004" i="34"/>
  <c r="B2005" i="34"/>
  <c r="B2006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36" i="34"/>
  <c r="B2037" i="34"/>
  <c r="B2038" i="34"/>
  <c r="B2039" i="34"/>
  <c r="B2040" i="34"/>
  <c r="B2041" i="34"/>
  <c r="B2042" i="34"/>
  <c r="B2043" i="34"/>
  <c r="B2073" i="34"/>
  <c r="B2074" i="34"/>
  <c r="B2075" i="34"/>
  <c r="B2076" i="34"/>
  <c r="B2077" i="34"/>
  <c r="B2078" i="34"/>
  <c r="B2079" i="34"/>
  <c r="B2080" i="34"/>
  <c r="B2088" i="34"/>
  <c r="B2089" i="34"/>
  <c r="B2090" i="34"/>
  <c r="B2091" i="34"/>
  <c r="B2092" i="34"/>
  <c r="B2093" i="34"/>
  <c r="B2094" i="34"/>
  <c r="B2137" i="34"/>
  <c r="B2138" i="34"/>
  <c r="B2139" i="34"/>
  <c r="B903" i="34"/>
  <c r="B1068" i="34"/>
  <c r="B1067" i="34"/>
  <c r="B1016" i="34"/>
  <c r="B1015" i="34"/>
  <c r="B1001" i="34"/>
  <c r="B1000" i="34"/>
  <c r="B999" i="34"/>
  <c r="B998" i="34"/>
  <c r="B997" i="34"/>
  <c r="B2140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41" i="34"/>
  <c r="B1940" i="34"/>
  <c r="B1939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53" i="34"/>
  <c r="B1952" i="34"/>
  <c r="B1951" i="34"/>
  <c r="B1950" i="34"/>
  <c r="B1949" i="34"/>
  <c r="B1948" i="34"/>
  <c r="B1947" i="34"/>
  <c r="B1753" i="34"/>
  <c r="B1701" i="34"/>
  <c r="B1700" i="34"/>
  <c r="B1699" i="34"/>
  <c r="B1698" i="34"/>
  <c r="B1697" i="34"/>
  <c r="B1696" i="34"/>
  <c r="B1686" i="34"/>
  <c r="B1685" i="34"/>
  <c r="B1658" i="34"/>
  <c r="B1657" i="34"/>
  <c r="B1656" i="34"/>
  <c r="B1655" i="34"/>
  <c r="B1654" i="34"/>
  <c r="B1653" i="34"/>
  <c r="B1652" i="34"/>
  <c r="B1651" i="34"/>
  <c r="B1649" i="34"/>
  <c r="B1573" i="34"/>
  <c r="B1514" i="34"/>
  <c r="B2111" i="34"/>
  <c r="B2110" i="34"/>
  <c r="B2095" i="34"/>
  <c r="B2060" i="34"/>
  <c r="B2059" i="34"/>
  <c r="B2058" i="34"/>
  <c r="B2057" i="34"/>
  <c r="B2056" i="34"/>
  <c r="B2055" i="34"/>
  <c r="B2054" i="34"/>
  <c r="B2053" i="34"/>
  <c r="B2025" i="34"/>
  <c r="B1988" i="34"/>
  <c r="B1985" i="34"/>
  <c r="B1984" i="34"/>
  <c r="B1983" i="34"/>
  <c r="B1982" i="34"/>
  <c r="B1981" i="34"/>
  <c r="B1980" i="34"/>
  <c r="B1960" i="34"/>
  <c r="B1959" i="34"/>
  <c r="B1958" i="34"/>
  <c r="B1957" i="34"/>
  <c r="B1956" i="34"/>
  <c r="B1955" i="34"/>
  <c r="B1954" i="34"/>
  <c r="B2194" i="34"/>
  <c r="B2193" i="34"/>
  <c r="B2192" i="34"/>
  <c r="B2191" i="34"/>
  <c r="B2171" i="34"/>
  <c r="B2170" i="34"/>
  <c r="B2169" i="34"/>
  <c r="B2168" i="34"/>
  <c r="B2167" i="34"/>
  <c r="B2166" i="34"/>
  <c r="B2148" i="34"/>
  <c r="B2147" i="34"/>
  <c r="B2146" i="34"/>
  <c r="B2145" i="34"/>
  <c r="B2144" i="34"/>
  <c r="B2143" i="34"/>
  <c r="B2142" i="34"/>
  <c r="B2141" i="34"/>
  <c r="B2118" i="34"/>
  <c r="B2117" i="34"/>
  <c r="B2116" i="34"/>
  <c r="B2115" i="34"/>
  <c r="B2114" i="34"/>
  <c r="B2113" i="34"/>
  <c r="B2112" i="34"/>
  <c r="B2641" i="34"/>
  <c r="B2713" i="34"/>
  <c r="B2712" i="34"/>
  <c r="B2711" i="34"/>
  <c r="B2710" i="34"/>
  <c r="B2693" i="34"/>
  <c r="B2692" i="34"/>
  <c r="B2691" i="34"/>
  <c r="B2690" i="34"/>
  <c r="B1022" i="34"/>
  <c r="B1021" i="34"/>
  <c r="B1020" i="34"/>
  <c r="B1019" i="34"/>
  <c r="B1018" i="34"/>
  <c r="B1017" i="34"/>
  <c r="B899" i="34"/>
  <c r="B898" i="34"/>
  <c r="B1189" i="34"/>
  <c r="B897" i="34"/>
  <c r="B2201" i="34"/>
  <c r="B2200" i="34"/>
  <c r="B2199" i="34"/>
  <c r="B2198" i="34"/>
  <c r="B2197" i="34"/>
  <c r="B2196" i="34"/>
  <c r="B2195" i="34"/>
  <c r="B2895" i="34"/>
  <c r="B2894" i="34"/>
  <c r="B2893" i="34"/>
  <c r="B2892" i="34"/>
  <c r="B2891" i="34"/>
  <c r="B2890" i="34"/>
  <c r="B2461" i="34"/>
  <c r="B2757" i="34"/>
  <c r="B2756" i="34"/>
  <c r="B2786" i="34"/>
  <c r="B2785" i="34"/>
  <c r="B2761" i="34"/>
  <c r="B2760" i="34"/>
  <c r="B2808" i="34"/>
  <c r="B2807" i="34"/>
  <c r="B2806" i="34"/>
  <c r="B2771" i="34"/>
  <c r="B2770" i="34"/>
  <c r="B2810" i="34"/>
  <c r="B2809" i="34"/>
  <c r="B2805" i="34"/>
  <c r="B2804" i="34"/>
  <c r="B2803" i="34"/>
  <c r="B2646" i="34"/>
  <c r="B2645" i="34"/>
  <c r="B2644" i="34"/>
  <c r="B2643" i="34"/>
  <c r="B2922" i="34"/>
  <c r="B247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942" i="34"/>
  <c r="B2941" i="34"/>
  <c r="B2940" i="34"/>
  <c r="B2939" i="34"/>
  <c r="B2938" i="34"/>
  <c r="B2896" i="34"/>
  <c r="B3337" i="34"/>
  <c r="B3336" i="34"/>
  <c r="B3335" i="34"/>
  <c r="B3334" i="34"/>
  <c r="B3333" i="34"/>
  <c r="B3332" i="34"/>
  <c r="B3331" i="34"/>
  <c r="B3330" i="34"/>
  <c r="B3329" i="34"/>
  <c r="B3328" i="34"/>
  <c r="B3327" i="34"/>
  <c r="B3326" i="34"/>
  <c r="B3325" i="34"/>
  <c r="B3324" i="34"/>
  <c r="B3323" i="34"/>
  <c r="B2981" i="34"/>
  <c r="B2980" i="34"/>
  <c r="B2979" i="34"/>
  <c r="B2978" i="34"/>
  <c r="B2977" i="34"/>
  <c r="B2976" i="34"/>
  <c r="B2928" i="34"/>
  <c r="B2927" i="34"/>
  <c r="B2926" i="34"/>
  <c r="B2925" i="34"/>
  <c r="B2924" i="34"/>
  <c r="B2923" i="34"/>
  <c r="B2225" i="34"/>
  <c r="B2240" i="34"/>
  <c r="B2456" i="34"/>
  <c r="B2224" i="34"/>
  <c r="B3359" i="34"/>
  <c r="B3358" i="34"/>
  <c r="B3357" i="34"/>
  <c r="B3356" i="34"/>
  <c r="B3355" i="34"/>
  <c r="B3354" i="34"/>
  <c r="B3353" i="34"/>
  <c r="B3352" i="34"/>
  <c r="B3351" i="34"/>
  <c r="B3350" i="34"/>
  <c r="B3349" i="34"/>
  <c r="B3348" i="34"/>
  <c r="B3347" i="34"/>
  <c r="B3346" i="34"/>
  <c r="B3345" i="34"/>
  <c r="B3344" i="34"/>
  <c r="B3343" i="34"/>
  <c r="B3342" i="34"/>
  <c r="B3341" i="34"/>
  <c r="B3340" i="34"/>
  <c r="B3339" i="34"/>
  <c r="B3338" i="34"/>
  <c r="A897" i="34" l="1"/>
  <c r="A1017" i="34"/>
  <c r="A1021" i="34"/>
  <c r="A1573" i="34"/>
  <c r="A1653" i="34"/>
  <c r="A1657" i="34"/>
  <c r="A1380" i="34"/>
  <c r="A1228" i="34"/>
  <c r="A1346" i="34"/>
  <c r="A1368" i="34"/>
  <c r="A1940" i="34"/>
  <c r="A1482" i="34"/>
  <c r="A1071" i="34"/>
  <c r="A1148" i="34"/>
  <c r="A1154" i="34"/>
  <c r="A1190" i="34"/>
  <c r="A1194" i="34"/>
  <c r="A1198" i="34"/>
  <c r="A1000" i="34"/>
  <c r="A1067" i="34"/>
  <c r="A1622" i="34"/>
  <c r="A1603" i="34"/>
  <c r="A1600" i="34"/>
  <c r="A1593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9" i="34"/>
  <c r="A1654" i="34"/>
  <c r="A1658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21" i="34"/>
  <c r="A1596" i="34"/>
  <c r="A1592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51" i="34"/>
  <c r="A1655" i="34"/>
  <c r="A1378" i="34"/>
  <c r="A1288" i="34"/>
  <c r="A1341" i="34"/>
  <c r="A1348" i="34"/>
  <c r="A1941" i="34"/>
  <c r="A1069" i="34"/>
  <c r="A1073" i="34"/>
  <c r="A1152" i="34"/>
  <c r="A1156" i="34"/>
  <c r="A1192" i="34"/>
  <c r="A1196" i="34"/>
  <c r="A1200" i="34"/>
  <c r="A998" i="34"/>
  <c r="A1015" i="34"/>
  <c r="A903" i="34"/>
  <c r="A1605" i="34"/>
  <c r="A1602" i="34"/>
  <c r="A1595" i="34"/>
  <c r="A1591" i="34"/>
  <c r="A1561" i="34"/>
  <c r="A1557" i="34"/>
  <c r="A1547" i="34"/>
  <c r="A1543" i="34"/>
  <c r="A1938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52" i="34"/>
  <c r="A1656" i="34"/>
  <c r="A1379" i="34"/>
  <c r="A1227" i="34"/>
  <c r="A1342" i="34"/>
  <c r="A1367" i="34"/>
  <c r="A1939" i="34"/>
  <c r="A1481" i="34"/>
  <c r="A1070" i="34"/>
  <c r="A1074" i="34"/>
  <c r="A1153" i="34"/>
  <c r="A1157" i="34"/>
  <c r="A1193" i="34"/>
  <c r="A1197" i="34"/>
  <c r="A1201" i="34"/>
  <c r="A999" i="34"/>
  <c r="A1016" i="34"/>
  <c r="A1604" i="34"/>
  <c r="A1601" i="34"/>
  <c r="A1594" i="34"/>
  <c r="A1590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39" i="34"/>
  <c r="A3343" i="34"/>
  <c r="A3347" i="34"/>
  <c r="A3351" i="34"/>
  <c r="A3355" i="34"/>
  <c r="A3359" i="34"/>
  <c r="A2225" i="34"/>
  <c r="A2926" i="34"/>
  <c r="A2977" i="34"/>
  <c r="A2981" i="34"/>
  <c r="A3326" i="34"/>
  <c r="A3330" i="34"/>
  <c r="A3334" i="34"/>
  <c r="A2896" i="34"/>
  <c r="A2941" i="34"/>
  <c r="A2873" i="34"/>
  <c r="A2877" i="34"/>
  <c r="A2881" i="34"/>
  <c r="A2885" i="34"/>
  <c r="A2889" i="34"/>
  <c r="A2644" i="34"/>
  <c r="A2804" i="34"/>
  <c r="A2770" i="34"/>
  <c r="A2808" i="34"/>
  <c r="A2786" i="34"/>
  <c r="A2890" i="34"/>
  <c r="A2894" i="34"/>
  <c r="A2197" i="34"/>
  <c r="A2201" i="34"/>
  <c r="A2691" i="34"/>
  <c r="A2711" i="34"/>
  <c r="A2641" i="34"/>
  <c r="A2115" i="34"/>
  <c r="A2141" i="34"/>
  <c r="A2145" i="34"/>
  <c r="A2166" i="34"/>
  <c r="A2170" i="34"/>
  <c r="A2191" i="34"/>
  <c r="A1954" i="34"/>
  <c r="A1957" i="34"/>
  <c r="A1980" i="34"/>
  <c r="A1984" i="34"/>
  <c r="A2053" i="34"/>
  <c r="A2057" i="34"/>
  <c r="A2095" i="34"/>
  <c r="A1696" i="34"/>
  <c r="A1700" i="34"/>
  <c r="A1948" i="34"/>
  <c r="A1952" i="34"/>
  <c r="A2140" i="34"/>
  <c r="A2094" i="34"/>
  <c r="A2090" i="34"/>
  <c r="A2079" i="34"/>
  <c r="A2075" i="34"/>
  <c r="A2042" i="34"/>
  <c r="A2038" i="34"/>
  <c r="A2017" i="34"/>
  <c r="A2013" i="34"/>
  <c r="A2009" i="34"/>
  <c r="A2004" i="34"/>
  <c r="A1747" i="34"/>
  <c r="A1743" i="34"/>
  <c r="A3340" i="34"/>
  <c r="A3344" i="34"/>
  <c r="A3348" i="34"/>
  <c r="A3352" i="34"/>
  <c r="A3356" i="34"/>
  <c r="A2224" i="34"/>
  <c r="A2923" i="34"/>
  <c r="A2927" i="34"/>
  <c r="A2978" i="34"/>
  <c r="A3323" i="34"/>
  <c r="A3327" i="34"/>
  <c r="A3331" i="34"/>
  <c r="A3335" i="34"/>
  <c r="A2938" i="34"/>
  <c r="A2942" i="34"/>
  <c r="A2874" i="34"/>
  <c r="A2878" i="34"/>
  <c r="A2882" i="34"/>
  <c r="A2886" i="34"/>
  <c r="A2470" i="34"/>
  <c r="A2645" i="34"/>
  <c r="A2805" i="34"/>
  <c r="A2771" i="34"/>
  <c r="A2760" i="34"/>
  <c r="A2756" i="34"/>
  <c r="A2891" i="34"/>
  <c r="A2895" i="34"/>
  <c r="A2198" i="34"/>
  <c r="A2692" i="34"/>
  <c r="A2712" i="34"/>
  <c r="A2112" i="34"/>
  <c r="A2116" i="34"/>
  <c r="A2142" i="34"/>
  <c r="A2146" i="34"/>
  <c r="A2167" i="34"/>
  <c r="A2192" i="34"/>
  <c r="A1955" i="34"/>
  <c r="A1958" i="34"/>
  <c r="A1981" i="34"/>
  <c r="A1985" i="34"/>
  <c r="A2054" i="34"/>
  <c r="A2058" i="34"/>
  <c r="A2110" i="34"/>
  <c r="A1697" i="34"/>
  <c r="A1701" i="34"/>
  <c r="A1949" i="34"/>
  <c r="A1953" i="34"/>
  <c r="A2139" i="34"/>
  <c r="A2093" i="34"/>
  <c r="A2089" i="34"/>
  <c r="A2078" i="34"/>
  <c r="A2074" i="34"/>
  <c r="A2041" i="34"/>
  <c r="A2037" i="34"/>
  <c r="A2016" i="34"/>
  <c r="A2012" i="34"/>
  <c r="A2008" i="34"/>
  <c r="A2003" i="34"/>
  <c r="A2000" i="34"/>
  <c r="A1746" i="34"/>
  <c r="A1742" i="34"/>
  <c r="A3341" i="34"/>
  <c r="A3345" i="34"/>
  <c r="A3349" i="34"/>
  <c r="A3353" i="34"/>
  <c r="A3357" i="34"/>
  <c r="A2456" i="34"/>
  <c r="A2924" i="34"/>
  <c r="A2928" i="34"/>
  <c r="A2979" i="34"/>
  <c r="A3324" i="34"/>
  <c r="A3328" i="34"/>
  <c r="A3332" i="34"/>
  <c r="A3336" i="34"/>
  <c r="A2939" i="34"/>
  <c r="A2875" i="34"/>
  <c r="A2879" i="34"/>
  <c r="A2883" i="34"/>
  <c r="A2887" i="34"/>
  <c r="A2922" i="34"/>
  <c r="A2646" i="34"/>
  <c r="A2809" i="34"/>
  <c r="A2806" i="34"/>
  <c r="A2761" i="34"/>
  <c r="A2757" i="34"/>
  <c r="A2892" i="34"/>
  <c r="A2195" i="34"/>
  <c r="A2199" i="34"/>
  <c r="A2693" i="34"/>
  <c r="A2713" i="34"/>
  <c r="A2113" i="34"/>
  <c r="A2117" i="34"/>
  <c r="A2143" i="34"/>
  <c r="A2147" i="34"/>
  <c r="A2168" i="34"/>
  <c r="A2193" i="34"/>
  <c r="A1959" i="34"/>
  <c r="A1982" i="34"/>
  <c r="A1988" i="34"/>
  <c r="A2055" i="34"/>
  <c r="A2059" i="34"/>
  <c r="A2111" i="34"/>
  <c r="A1685" i="34"/>
  <c r="A1698" i="34"/>
  <c r="A1753" i="34"/>
  <c r="A1950" i="34"/>
  <c r="A2138" i="34"/>
  <c r="A2092" i="34"/>
  <c r="A2088" i="34"/>
  <c r="A2077" i="34"/>
  <c r="A2073" i="34"/>
  <c r="A2040" i="34"/>
  <c r="A2036" i="34"/>
  <c r="A2015" i="34"/>
  <c r="A2011" i="34"/>
  <c r="A2006" i="34"/>
  <c r="A2002" i="34"/>
  <c r="A1999" i="34"/>
  <c r="A1745" i="34"/>
  <c r="A3338" i="34"/>
  <c r="A3342" i="34"/>
  <c r="A3346" i="34"/>
  <c r="A3350" i="34"/>
  <c r="A3354" i="34"/>
  <c r="A3358" i="34"/>
  <c r="A2240" i="34"/>
  <c r="A2925" i="34"/>
  <c r="A2976" i="34"/>
  <c r="A2980" i="34"/>
  <c r="A3325" i="34"/>
  <c r="A3329" i="34"/>
  <c r="A3333" i="34"/>
  <c r="A3337" i="34"/>
  <c r="A2940" i="34"/>
  <c r="A2876" i="34"/>
  <c r="A2880" i="34"/>
  <c r="A2884" i="34"/>
  <c r="A2888" i="34"/>
  <c r="A2643" i="34"/>
  <c r="A2803" i="34"/>
  <c r="A2810" i="34"/>
  <c r="A2807" i="34"/>
  <c r="A2785" i="34"/>
  <c r="A2461" i="34"/>
  <c r="A2893" i="34"/>
  <c r="A2196" i="34"/>
  <c r="A2200" i="34"/>
  <c r="A2690" i="34"/>
  <c r="A2710" i="34"/>
  <c r="A2114" i="34"/>
  <c r="A2118" i="34"/>
  <c r="A2144" i="34"/>
  <c r="A2148" i="34"/>
  <c r="A2169" i="34"/>
  <c r="A2171" i="34"/>
  <c r="A2194" i="34"/>
  <c r="A1956" i="34"/>
  <c r="A1960" i="34"/>
  <c r="A1983" i="34"/>
  <c r="A2025" i="34"/>
  <c r="A2056" i="34"/>
  <c r="A2060" i="34"/>
  <c r="A1686" i="34"/>
  <c r="A1699" i="34"/>
  <c r="A1947" i="34"/>
  <c r="A1951" i="34"/>
  <c r="A2137" i="34"/>
  <c r="A2091" i="34"/>
  <c r="A2080" i="34"/>
  <c r="A2076" i="34"/>
  <c r="A2043" i="34"/>
  <c r="A2039" i="34"/>
  <c r="A2018" i="34"/>
  <c r="A2014" i="34"/>
  <c r="A2010" i="34"/>
  <c r="A2005" i="34"/>
  <c r="A2001" i="34"/>
  <c r="A1748" i="34"/>
  <c r="A1744" i="34"/>
  <c r="B890" i="34" l="1"/>
  <c r="B481" i="34"/>
  <c r="B165" i="34"/>
  <c r="B147" i="34"/>
  <c r="A165" i="34" l="1"/>
  <c r="A481" i="34"/>
  <c r="A147" i="34"/>
  <c r="A890" i="34"/>
  <c r="E33" i="55"/>
  <c r="B788" i="34" l="1"/>
  <c r="B771" i="34"/>
  <c r="B762" i="34"/>
  <c r="B110" i="34"/>
  <c r="B105" i="34"/>
  <c r="B93" i="34"/>
  <c r="A110" i="34" l="1"/>
  <c r="A762" i="34"/>
  <c r="A771" i="34"/>
  <c r="A93" i="34"/>
  <c r="A105" i="34"/>
  <c r="A788" i="34"/>
  <c r="B64" i="34"/>
  <c r="B450" i="34"/>
  <c r="B431" i="34"/>
  <c r="A450" i="34" l="1"/>
  <c r="A64" i="34"/>
  <c r="A431" i="34"/>
  <c r="B235" i="34"/>
  <c r="B207" i="34"/>
  <c r="B332" i="34"/>
  <c r="B319" i="34"/>
  <c r="B350" i="34"/>
  <c r="B669" i="34"/>
  <c r="B243" i="34"/>
  <c r="B401" i="34"/>
  <c r="A319" i="34" l="1"/>
  <c r="A332" i="34"/>
  <c r="A350" i="34"/>
  <c r="A401" i="34"/>
  <c r="A243" i="34"/>
  <c r="A207" i="34"/>
  <c r="A235" i="34"/>
  <c r="A669" i="34"/>
  <c r="O5" i="78"/>
  <c r="N5" i="78"/>
  <c r="B284" i="34"/>
  <c r="B250" i="34"/>
  <c r="A284" i="34" l="1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34" i="34"/>
  <c r="B2032" i="34"/>
  <c r="B2030" i="34"/>
  <c r="B2029" i="34"/>
  <c r="B2028" i="34"/>
  <c r="B2027" i="34"/>
  <c r="B2021" i="34"/>
  <c r="B2020" i="34"/>
  <c r="B2019" i="34"/>
  <c r="B2007" i="34"/>
  <c r="B1749" i="34"/>
  <c r="B1731" i="34"/>
  <c r="B1730" i="34"/>
  <c r="B1729" i="34"/>
  <c r="B1728" i="34"/>
  <c r="B1624" i="34"/>
  <c r="B1623" i="34"/>
  <c r="B1625" i="34"/>
  <c r="B1589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13" i="34"/>
  <c r="B2218" i="34"/>
  <c r="B2217" i="34"/>
  <c r="B1996" i="34"/>
  <c r="B1998" i="34"/>
  <c r="B1997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26" i="34"/>
  <c r="B1564" i="34"/>
  <c r="B2216" i="34"/>
  <c r="B2215" i="34"/>
  <c r="B2220" i="34"/>
  <c r="B2219" i="34"/>
  <c r="B2214" i="34"/>
  <c r="B2097" i="34"/>
  <c r="B2082" i="34"/>
  <c r="B2081" i="34"/>
  <c r="B2084" i="34"/>
  <c r="B2083" i="34"/>
  <c r="B2072" i="34"/>
  <c r="B2071" i="34"/>
  <c r="B2070" i="34"/>
  <c r="B2069" i="34"/>
  <c r="A220" i="34" l="1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26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23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24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9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25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072" i="34"/>
  <c r="A2069" i="34"/>
  <c r="A2215" i="34"/>
  <c r="A2070" i="34"/>
  <c r="A2084" i="34"/>
  <c r="A2214" i="34"/>
  <c r="A2216" i="34"/>
  <c r="A1996" i="34"/>
  <c r="A1728" i="34"/>
  <c r="A1749" i="34"/>
  <c r="A2021" i="34"/>
  <c r="A2030" i="34"/>
  <c r="A2220" i="34"/>
  <c r="A2083" i="34"/>
  <c r="A2071" i="34"/>
  <c r="A2081" i="34"/>
  <c r="A2219" i="34"/>
  <c r="A2217" i="34"/>
  <c r="A1729" i="34"/>
  <c r="A2007" i="34"/>
  <c r="A2027" i="34"/>
  <c r="A2032" i="34"/>
  <c r="A1997" i="34"/>
  <c r="A2218" i="34"/>
  <c r="A1730" i="34"/>
  <c r="A2019" i="34"/>
  <c r="A2028" i="34"/>
  <c r="A2034" i="34"/>
  <c r="A2082" i="34"/>
  <c r="A2097" i="34"/>
  <c r="A1998" i="34"/>
  <c r="A2213" i="34"/>
  <c r="A1731" i="34"/>
  <c r="A2020" i="34"/>
  <c r="A2029" i="34"/>
  <c r="B281" i="34"/>
  <c r="B305" i="34"/>
  <c r="B585" i="34"/>
  <c r="B889" i="34"/>
  <c r="B146" i="34"/>
  <c r="A305" i="34" l="1"/>
  <c r="A281" i="34"/>
  <c r="A146" i="34"/>
  <c r="A889" i="34"/>
  <c r="A585" i="34"/>
  <c r="B1750" i="34"/>
  <c r="B2098" i="34"/>
  <c r="B2085" i="34"/>
  <c r="B2022" i="34"/>
  <c r="B902" i="34"/>
  <c r="B2176" i="34"/>
  <c r="A902" i="34" l="1"/>
  <c r="A2022" i="34"/>
  <c r="A2085" i="34"/>
  <c r="A2176" i="34"/>
  <c r="A2098" i="34"/>
  <c r="A1750" i="34"/>
  <c r="I18" i="54" l="1"/>
  <c r="B483" i="34"/>
  <c r="A483" i="34" l="1"/>
  <c r="N11" i="34"/>
  <c r="N12" i="34"/>
  <c r="N10" i="34"/>
  <c r="N5" i="77"/>
  <c r="O5" i="77" l="1"/>
  <c r="L5" i="75"/>
  <c r="M5" i="75"/>
  <c r="P5" i="74"/>
  <c r="O5" i="74"/>
  <c r="V1616" i="34" l="1"/>
  <c r="V1615" i="34"/>
  <c r="V1614" i="34"/>
  <c r="V1901" i="34"/>
  <c r="V1902" i="34"/>
  <c r="V1986" i="34"/>
  <c r="V1975" i="34"/>
  <c r="V1987" i="34"/>
  <c r="V2700" i="34"/>
  <c r="V2708" i="34"/>
  <c r="V2694" i="34"/>
  <c r="V2702" i="34"/>
  <c r="V2701" i="34"/>
  <c r="V2709" i="34"/>
  <c r="V2695" i="34"/>
  <c r="V2703" i="34"/>
  <c r="V2696" i="34"/>
  <c r="V2704" i="34"/>
  <c r="V2698" i="34"/>
  <c r="V2706" i="34"/>
  <c r="V2697" i="34"/>
  <c r="V2705" i="34"/>
  <c r="V2699" i="34"/>
  <c r="V2707" i="34"/>
  <c r="V1974" i="34"/>
  <c r="V1487" i="34"/>
  <c r="V1485" i="34"/>
  <c r="V1690" i="34"/>
  <c r="V1692" i="34"/>
  <c r="V1461" i="34"/>
  <c r="V1691" i="34"/>
  <c r="V1462" i="34"/>
  <c r="V1689" i="34"/>
  <c r="V1693" i="34"/>
  <c r="V1486" i="34"/>
  <c r="V1726" i="34"/>
  <c r="V1725" i="34"/>
  <c r="V1874" i="34"/>
  <c r="V1873" i="34"/>
  <c r="V1429" i="34"/>
  <c r="V1766" i="34"/>
  <c r="V1435" i="34"/>
  <c r="V1644" i="34"/>
  <c r="V1401" i="34"/>
  <c r="V1437" i="34"/>
  <c r="V1441" i="34"/>
  <c r="V1646" i="34"/>
  <c r="V1399" i="34"/>
  <c r="V1443" i="34"/>
  <c r="V1431" i="34"/>
  <c r="V1767" i="34"/>
  <c r="V1430" i="34"/>
  <c r="V1442" i="34"/>
  <c r="V1436" i="34"/>
  <c r="V1643" i="34"/>
  <c r="V1642" i="34"/>
  <c r="V1402" i="34"/>
  <c r="V1641" i="34"/>
  <c r="V1400" i="34"/>
  <c r="V1645" i="34"/>
  <c r="V1848" i="34"/>
  <c r="V1741" i="34"/>
  <c r="V1893" i="34"/>
  <c r="V1924" i="34"/>
  <c r="V1717" i="34"/>
  <c r="V1843" i="34"/>
  <c r="V1916" i="34"/>
  <c r="V1791" i="34"/>
  <c r="V1788" i="34"/>
  <c r="V1799" i="34"/>
  <c r="V1842" i="34"/>
  <c r="V1867" i="34"/>
  <c r="V1464" i="34"/>
  <c r="V1790" i="34"/>
  <c r="V1917" i="34"/>
  <c r="V1890" i="34"/>
  <c r="V1668" i="34"/>
  <c r="V1782" i="34"/>
  <c r="V1716" i="34"/>
  <c r="V1915" i="34"/>
  <c r="V1868" i="34"/>
  <c r="V1912" i="34"/>
  <c r="V1822" i="34"/>
  <c r="V1847" i="34"/>
  <c r="V1891" i="34"/>
  <c r="V1918" i="34"/>
  <c r="V1669" i="34"/>
  <c r="V1719" i="34"/>
  <c r="V1823" i="34"/>
  <c r="V1785" i="34"/>
  <c r="V1824" i="34"/>
  <c r="V1911" i="34"/>
  <c r="V1786" i="34"/>
  <c r="V1849" i="34"/>
  <c r="V1921" i="34"/>
  <c r="V1865" i="34"/>
  <c r="V1841" i="34"/>
  <c r="V1870" i="34"/>
  <c r="V1840" i="34"/>
  <c r="V1913" i="34"/>
  <c r="V1922" i="34"/>
  <c r="V1945" i="34"/>
  <c r="V1866" i="34"/>
  <c r="V1892" i="34"/>
  <c r="V1715" i="34"/>
  <c r="V1914" i="34"/>
  <c r="V1789" i="34"/>
  <c r="V1718" i="34"/>
  <c r="V1713" i="34"/>
  <c r="V1776" i="34"/>
  <c r="V1908" i="34"/>
  <c r="V1777" i="34"/>
  <c r="V1850" i="34"/>
  <c r="V1792" i="34"/>
  <c r="V1787" i="34"/>
  <c r="V1863" i="34"/>
  <c r="V1463" i="34"/>
  <c r="V1920" i="34"/>
  <c r="V1831" i="34"/>
  <c r="V1871" i="34"/>
  <c r="V1909" i="34"/>
  <c r="V1923" i="34"/>
  <c r="V1883" i="34"/>
  <c r="V1872" i="34"/>
  <c r="V1869" i="34"/>
  <c r="V1919" i="34"/>
  <c r="V1783" i="34"/>
  <c r="V1005" i="34"/>
  <c r="V1714" i="34"/>
  <c r="V1864" i="34"/>
  <c r="V1784" i="34"/>
  <c r="V1910" i="34"/>
  <c r="V1852" i="34"/>
  <c r="V1832" i="34"/>
  <c r="V1834" i="34"/>
  <c r="V1846" i="34"/>
  <c r="V1780" i="34"/>
  <c r="V1778" i="34"/>
  <c r="V1768" i="34"/>
  <c r="V1906" i="34"/>
  <c r="V1931" i="34"/>
  <c r="V1836" i="34"/>
  <c r="V1900" i="34"/>
  <c r="V1810" i="34"/>
  <c r="V1764" i="34"/>
  <c r="V1770" i="34"/>
  <c r="V1798" i="34"/>
  <c r="V1814" i="34"/>
  <c r="V1904" i="34"/>
  <c r="V1896" i="34"/>
  <c r="V1898" i="34"/>
  <c r="V1854" i="34"/>
  <c r="V1812" i="34"/>
  <c r="V1856" i="34"/>
  <c r="V1860" i="34"/>
  <c r="V1880" i="34"/>
  <c r="V1935" i="34"/>
  <c r="V1858" i="34"/>
  <c r="V1794" i="34"/>
  <c r="V1803" i="34"/>
  <c r="V1932" i="34"/>
  <c r="V1815" i="34"/>
  <c r="V1885" i="34"/>
  <c r="V1897" i="34"/>
  <c r="V1807" i="34"/>
  <c r="V1809" i="34"/>
  <c r="V1763" i="34"/>
  <c r="V1765" i="34"/>
  <c r="V1813" i="34"/>
  <c r="V1779" i="34"/>
  <c r="V1857" i="34"/>
  <c r="V1839" i="34"/>
  <c r="V1929" i="34"/>
  <c r="V1877" i="34"/>
  <c r="V1925" i="34"/>
  <c r="V1887" i="34"/>
  <c r="V1793" i="34"/>
  <c r="V1934" i="34"/>
  <c r="V1855" i="34"/>
  <c r="V1837" i="34"/>
  <c r="V1875" i="34"/>
  <c r="V1838" i="34"/>
  <c r="V1927" i="34"/>
  <c r="V1878" i="34"/>
  <c r="V1829" i="34"/>
  <c r="V1797" i="34"/>
  <c r="V1835" i="34"/>
  <c r="V1861" i="34"/>
  <c r="V1895" i="34"/>
  <c r="V1851" i="34"/>
  <c r="V1833" i="34"/>
  <c r="V1899" i="34"/>
  <c r="V1926" i="34"/>
  <c r="V1879" i="34"/>
  <c r="V1933" i="34"/>
  <c r="V1886" i="34"/>
  <c r="V1827" i="34"/>
  <c r="V1889" i="34"/>
  <c r="V1825" i="34"/>
  <c r="V1801" i="34"/>
  <c r="V1795" i="34"/>
  <c r="V1853" i="34"/>
  <c r="V1881" i="34"/>
  <c r="V1805" i="34"/>
  <c r="V1859" i="34"/>
  <c r="V1845" i="34"/>
  <c r="V1905" i="34"/>
  <c r="V1930" i="34"/>
  <c r="V1811" i="34"/>
  <c r="V1804" i="34"/>
  <c r="V1806" i="34"/>
  <c r="V1816" i="34"/>
  <c r="V1826" i="34"/>
  <c r="V1888" i="34"/>
  <c r="V1894" i="34"/>
  <c r="V1844" i="34"/>
  <c r="V1876" i="34"/>
  <c r="V1882" i="34"/>
  <c r="V1802" i="34"/>
  <c r="V1884" i="34"/>
  <c r="V1769" i="34"/>
  <c r="V1808" i="34"/>
  <c r="V1828" i="34"/>
  <c r="V1862" i="34"/>
  <c r="V1830" i="34"/>
  <c r="V1634" i="34"/>
  <c r="V1666" i="34"/>
  <c r="V1667" i="34"/>
  <c r="V1620" i="34"/>
  <c r="V1687" i="34"/>
  <c r="V1688" i="34"/>
  <c r="V1694" i="34"/>
  <c r="V1633" i="34"/>
  <c r="V1712" i="34"/>
  <c r="V1632" i="34"/>
  <c r="V1695" i="34"/>
  <c r="V1505" i="34"/>
  <c r="V1734" i="34"/>
  <c r="V1582" i="34"/>
  <c r="V1588" i="34"/>
  <c r="V1724" i="34"/>
  <c r="V1511" i="34"/>
  <c r="V1449" i="34"/>
  <c r="V1457" i="34"/>
  <c r="V1710" i="34"/>
  <c r="V1598" i="34"/>
  <c r="V1474" i="34"/>
  <c r="V1569" i="34"/>
  <c r="V1517" i="34"/>
  <c r="V1800" i="34"/>
  <c r="V1551" i="34"/>
  <c r="V1612" i="34"/>
  <c r="V1497" i="34"/>
  <c r="V1772" i="34"/>
  <c r="V1444" i="34"/>
  <c r="V1498" i="34"/>
  <c r="V1447" i="34"/>
  <c r="V1774" i="34"/>
  <c r="V1775" i="34"/>
  <c r="V1580" i="34"/>
  <c r="V1706" i="34"/>
  <c r="V1576" i="34"/>
  <c r="V1459" i="34"/>
  <c r="V1773" i="34"/>
  <c r="V1525" i="34"/>
  <c r="V1567" i="34"/>
  <c r="V1495" i="34"/>
  <c r="V1445" i="34"/>
  <c r="V1501" i="34"/>
  <c r="V1664" i="34"/>
  <c r="V1507" i="34"/>
  <c r="V1453" i="34"/>
  <c r="V1610" i="34"/>
  <c r="V1520" i="34"/>
  <c r="V1819" i="34"/>
  <c r="V1528" i="34"/>
  <c r="V1599" i="34"/>
  <c r="V1465" i="34"/>
  <c r="V1578" i="34"/>
  <c r="V1735" i="34"/>
  <c r="V1817" i="34"/>
  <c r="V1732" i="34"/>
  <c r="V1738" i="34"/>
  <c r="V1488" i="34"/>
  <c r="V1739" i="34"/>
  <c r="V1665" i="34"/>
  <c r="V1518" i="34"/>
  <c r="V1548" i="34"/>
  <c r="V1903" i="34"/>
  <c r="V1711" i="34"/>
  <c r="V1510" i="34"/>
  <c r="V1452" i="34"/>
  <c r="V1928" i="34"/>
  <c r="V1771" i="34"/>
  <c r="V1454" i="34"/>
  <c r="V1577" i="34"/>
  <c r="V1506" i="34"/>
  <c r="V1448" i="34"/>
  <c r="V1460" i="34"/>
  <c r="V1609" i="34"/>
  <c r="V1438" i="34"/>
  <c r="V1821" i="34"/>
  <c r="V1458" i="34"/>
  <c r="V1708" i="34"/>
  <c r="V1504" i="34"/>
  <c r="V1490" i="34"/>
  <c r="V1679" i="34"/>
  <c r="V1491" i="34"/>
  <c r="V1570" i="34"/>
  <c r="V1451" i="34"/>
  <c r="V1611" i="34"/>
  <c r="V1455" i="34"/>
  <c r="V1466" i="34"/>
  <c r="V1571" i="34"/>
  <c r="V1650" i="34"/>
  <c r="V1503" i="34"/>
  <c r="V1740" i="34"/>
  <c r="V1473" i="34"/>
  <c r="V1568" i="34"/>
  <c r="V1733" i="34"/>
  <c r="V1527" i="34"/>
  <c r="V1608" i="34"/>
  <c r="V1492" i="34"/>
  <c r="V1581" i="34"/>
  <c r="V1494" i="34"/>
  <c r="V1781" i="34"/>
  <c r="V1496" i="34"/>
  <c r="V1737" i="34"/>
  <c r="V1705" i="34"/>
  <c r="V1613" i="34"/>
  <c r="V1550" i="34"/>
  <c r="V1607" i="34"/>
  <c r="V1521" i="34"/>
  <c r="V1820" i="34"/>
  <c r="V1530" i="34"/>
  <c r="V1704" i="34"/>
  <c r="V1707" i="34"/>
  <c r="V1529" i="34"/>
  <c r="V1456" i="34"/>
  <c r="V1709" i="34"/>
  <c r="V1597" i="34"/>
  <c r="V1392" i="34"/>
  <c r="V1549" i="34"/>
  <c r="V1572" i="34"/>
  <c r="V1508" i="34"/>
  <c r="V1579" i="34"/>
  <c r="V1446" i="34"/>
  <c r="V1489" i="34"/>
  <c r="V1526" i="34"/>
  <c r="V1502" i="34"/>
  <c r="V1907" i="34"/>
  <c r="V1450" i="34"/>
  <c r="V1606" i="34"/>
  <c r="V1509" i="34"/>
  <c r="V1493" i="34"/>
  <c r="V1796" i="34"/>
  <c r="V1736" i="34"/>
  <c r="V1680" i="34"/>
  <c r="V1519" i="34"/>
  <c r="V1818" i="34"/>
  <c r="V596" i="34"/>
  <c r="V360" i="34"/>
  <c r="V487" i="34"/>
  <c r="V533" i="34"/>
  <c r="V1381" i="34"/>
  <c r="V355" i="34"/>
  <c r="V389" i="34"/>
  <c r="V496" i="34"/>
  <c r="V529" i="34"/>
  <c r="V863" i="34"/>
  <c r="V373" i="34"/>
  <c r="V448" i="34"/>
  <c r="V504" i="34"/>
  <c r="V526" i="34"/>
  <c r="V512" i="34"/>
  <c r="V365" i="34"/>
  <c r="V468" i="34"/>
  <c r="V1289" i="34"/>
  <c r="V1943" i="34"/>
  <c r="V1944" i="34"/>
  <c r="V50" i="34"/>
  <c r="V40" i="34"/>
  <c r="V52" i="34"/>
  <c r="V62" i="34"/>
  <c r="V32" i="34"/>
  <c r="V26" i="34"/>
  <c r="V28" i="34"/>
  <c r="V30" i="34"/>
  <c r="V42" i="34"/>
  <c r="V54" i="34"/>
  <c r="V29" i="34"/>
  <c r="V31" i="34"/>
  <c r="V43" i="34"/>
  <c r="V55" i="34"/>
  <c r="V53" i="34"/>
  <c r="V47" i="34"/>
  <c r="V33" i="34"/>
  <c r="V45" i="34"/>
  <c r="V57" i="34"/>
  <c r="V34" i="34"/>
  <c r="V46" i="34"/>
  <c r="V58" i="34"/>
  <c r="V44" i="34"/>
  <c r="V56" i="34"/>
  <c r="V38" i="34"/>
  <c r="V24" i="34"/>
  <c r="V36" i="34"/>
  <c r="V48" i="34"/>
  <c r="V60" i="34"/>
  <c r="V25" i="34"/>
  <c r="V37" i="34"/>
  <c r="V49" i="34"/>
  <c r="V61" i="34"/>
  <c r="V35" i="34"/>
  <c r="V59" i="34"/>
  <c r="V27" i="34"/>
  <c r="V41" i="34"/>
  <c r="V23" i="34"/>
  <c r="V39" i="34"/>
  <c r="V51" i="34"/>
  <c r="V18" i="34"/>
  <c r="V1271" i="34"/>
  <c r="V1266" i="34"/>
  <c r="V1268" i="34"/>
  <c r="V1262" i="34"/>
  <c r="V1264" i="34"/>
  <c r="V1270" i="34"/>
  <c r="V1263" i="34"/>
  <c r="V1269" i="34"/>
  <c r="V1265" i="34"/>
  <c r="V1267" i="34"/>
  <c r="V282" i="34"/>
  <c r="V747" i="34"/>
  <c r="V1376" i="34"/>
  <c r="V1331" i="34"/>
  <c r="V1354" i="34"/>
  <c r="V1413" i="34"/>
  <c r="V1332" i="34"/>
  <c r="V1355" i="34"/>
  <c r="V1356" i="34"/>
  <c r="V1411" i="34"/>
  <c r="V1394" i="34"/>
  <c r="V1333" i="34"/>
  <c r="V1391" i="34"/>
  <c r="V1312" i="34"/>
  <c r="V1353" i="34"/>
  <c r="V1357" i="34"/>
  <c r="V1334" i="34"/>
  <c r="V1358" i="34"/>
  <c r="V1393" i="34"/>
  <c r="V1412" i="34"/>
  <c r="V1410" i="34"/>
  <c r="V1335" i="34"/>
  <c r="V1330" i="34"/>
  <c r="V1439" i="34"/>
  <c r="V1440" i="34"/>
  <c r="V1351" i="34"/>
  <c r="V1423" i="34"/>
  <c r="V1272" i="34"/>
  <c r="V1222" i="34"/>
  <c r="V1282" i="34"/>
  <c r="V1306" i="34"/>
  <c r="V1405" i="34"/>
  <c r="V1389" i="34"/>
  <c r="V1415" i="34"/>
  <c r="V1216" i="34"/>
  <c r="V1252" i="34"/>
  <c r="V1274" i="34"/>
  <c r="V1298" i="34"/>
  <c r="V1349" i="34"/>
  <c r="V1383" i="34"/>
  <c r="V1421" i="34"/>
  <c r="V1220" i="34"/>
  <c r="V1246" i="34"/>
  <c r="V1359" i="34"/>
  <c r="V1387" i="34"/>
  <c r="V1214" i="34"/>
  <c r="V1250" i="34"/>
  <c r="V1310" i="34"/>
  <c r="V1316" i="34"/>
  <c r="V1343" i="34"/>
  <c r="V1366" i="34"/>
  <c r="V1420" i="34"/>
  <c r="V1418" i="34"/>
  <c r="V1285" i="34"/>
  <c r="V1301" i="34"/>
  <c r="V1313" i="34"/>
  <c r="V1386" i="34"/>
  <c r="V1352" i="34"/>
  <c r="V1424" i="34"/>
  <c r="V1217" i="34"/>
  <c r="V1223" i="34"/>
  <c r="V1237" i="34"/>
  <c r="V1293" i="34"/>
  <c r="V1307" i="34"/>
  <c r="V1344" i="34"/>
  <c r="V1390" i="34"/>
  <c r="V1416" i="34"/>
  <c r="V1273" i="34"/>
  <c r="V1283" i="34"/>
  <c r="V1299" i="34"/>
  <c r="V1350" i="34"/>
  <c r="V1384" i="34"/>
  <c r="V1414" i="34"/>
  <c r="V1422" i="34"/>
  <c r="V1221" i="34"/>
  <c r="V1247" i="34"/>
  <c r="V1281" i="34"/>
  <c r="V1305" i="34"/>
  <c r="V1403" i="34"/>
  <c r="V1409" i="34"/>
  <c r="V1226" i="34"/>
  <c r="V1240" i="34"/>
  <c r="V1292" i="34"/>
  <c r="V1296" i="34"/>
  <c r="V1433" i="34"/>
  <c r="V1419" i="34"/>
  <c r="V1236" i="34"/>
  <c r="V1248" i="34"/>
  <c r="V1286" i="34"/>
  <c r="V1302" i="34"/>
  <c r="V1314" i="34"/>
  <c r="V1385" i="34"/>
  <c r="V1425" i="34"/>
  <c r="V1218" i="34"/>
  <c r="V1224" i="34"/>
  <c r="V1238" i="34"/>
  <c r="V1290" i="34"/>
  <c r="V1304" i="34"/>
  <c r="V1294" i="34"/>
  <c r="V1308" i="34"/>
  <c r="V1345" i="34"/>
  <c r="V1417" i="34"/>
  <c r="V1284" i="34"/>
  <c r="V1300" i="34"/>
  <c r="V1388" i="34"/>
  <c r="V1215" i="34"/>
  <c r="V1229" i="34"/>
  <c r="V1251" i="34"/>
  <c r="V1311" i="34"/>
  <c r="V1317" i="34"/>
  <c r="V1329" i="34"/>
  <c r="V1382" i="34"/>
  <c r="V1297" i="34"/>
  <c r="V1432" i="34"/>
  <c r="V1434" i="34"/>
  <c r="V1408" i="34"/>
  <c r="V1249" i="34"/>
  <c r="V1303" i="34"/>
  <c r="V1315" i="34"/>
  <c r="V1428" i="34"/>
  <c r="V1404" i="34"/>
  <c r="V1219" i="34"/>
  <c r="V1225" i="34"/>
  <c r="V1239" i="34"/>
  <c r="V1291" i="34"/>
  <c r="V1295" i="34"/>
  <c r="V1309" i="34"/>
  <c r="V1361" i="34"/>
  <c r="V1322" i="34"/>
  <c r="V1320" i="34"/>
  <c r="V1324" i="34"/>
  <c r="V1321" i="34"/>
  <c r="V1360" i="34"/>
  <c r="V1323" i="34"/>
  <c r="V1362" i="34"/>
  <c r="V1336" i="34"/>
  <c r="V1124" i="34"/>
  <c r="V1278" i="34"/>
  <c r="V1126" i="34"/>
  <c r="V1280" i="34"/>
  <c r="V1102" i="34"/>
  <c r="V1104" i="34"/>
  <c r="V1105" i="34"/>
  <c r="V1318" i="34"/>
  <c r="V1066" i="34"/>
  <c r="V1276" i="34"/>
  <c r="V1065" i="34"/>
  <c r="V1279" i="34"/>
  <c r="V1106" i="34"/>
  <c r="V1277" i="34"/>
  <c r="V1103" i="34"/>
  <c r="V1275" i="34"/>
  <c r="V1125" i="34"/>
  <c r="V1139" i="34"/>
  <c r="V1213" i="34"/>
  <c r="V1212" i="34"/>
  <c r="V1375" i="34"/>
  <c r="V1374" i="34"/>
  <c r="V958" i="34"/>
  <c r="V724" i="34"/>
  <c r="V1326" i="34"/>
  <c r="V722" i="34"/>
  <c r="V980" i="34"/>
  <c r="V908" i="34"/>
  <c r="V723" i="34"/>
  <c r="V1325" i="34"/>
  <c r="V947" i="34"/>
  <c r="V1327" i="34"/>
  <c r="V1319" i="34"/>
  <c r="V1328" i="34"/>
  <c r="V721" i="34"/>
  <c r="V739" i="34"/>
  <c r="V981" i="34"/>
  <c r="V957" i="34"/>
  <c r="V946" i="34"/>
  <c r="V948" i="34"/>
  <c r="V2508" i="34"/>
  <c r="V2656" i="34"/>
  <c r="V2714" i="34"/>
  <c r="V2738" i="34"/>
  <c r="V2796" i="34"/>
  <c r="V2814" i="34"/>
  <c r="V2788" i="34"/>
  <c r="V2602" i="34"/>
  <c r="V2780" i="34"/>
  <c r="V2736" i="34"/>
  <c r="V2720" i="34"/>
  <c r="V2774" i="34"/>
  <c r="V2784" i="34"/>
  <c r="V2642" i="34"/>
  <c r="V2721" i="34"/>
  <c r="V2779" i="34"/>
  <c r="V2735" i="34"/>
  <c r="V2719" i="34"/>
  <c r="V2755" i="34"/>
  <c r="V2773" i="34"/>
  <c r="V2783" i="34"/>
  <c r="V2653" i="34"/>
  <c r="V2777" i="34"/>
  <c r="V2821" i="34"/>
  <c r="V2632" i="34"/>
  <c r="V2778" i="34"/>
  <c r="V2754" i="34"/>
  <c r="V2772" i="34"/>
  <c r="V2640" i="34"/>
  <c r="V2666" i="34"/>
  <c r="V2798" i="34"/>
  <c r="V2820" i="34"/>
  <c r="V2639" i="34"/>
  <c r="V2665" i="34"/>
  <c r="V2715" i="34"/>
  <c r="V2797" i="34"/>
  <c r="V2819" i="34"/>
  <c r="V2649" i="34"/>
  <c r="V2607" i="34"/>
  <c r="V2629" i="34"/>
  <c r="V2655" i="34"/>
  <c r="V2677" i="34"/>
  <c r="V2737" i="34"/>
  <c r="V2813" i="34"/>
  <c r="V14" i="34"/>
  <c r="V2221" i="34"/>
  <c r="V1585" i="34"/>
  <c r="V2332" i="34"/>
  <c r="V2900" i="34"/>
  <c r="V877" i="34"/>
  <c r="V2902" i="34"/>
  <c r="V2031" i="34"/>
  <c r="V2033" i="34"/>
  <c r="V2330" i="34"/>
  <c r="V2189" i="34"/>
  <c r="V2187" i="34"/>
  <c r="V1648" i="34"/>
  <c r="V1337" i="34"/>
  <c r="V1479" i="34"/>
  <c r="V974" i="34"/>
  <c r="V1028" i="34"/>
  <c r="V1118" i="34"/>
  <c r="V3243" i="34"/>
  <c r="V1678" i="34"/>
  <c r="V1684" i="34"/>
  <c r="V1758" i="34"/>
  <c r="V1639" i="34"/>
  <c r="V1629" i="34"/>
  <c r="V1761" i="34"/>
  <c r="V2046" i="34"/>
  <c r="V2106" i="34"/>
  <c r="V2128" i="34"/>
  <c r="V2136" i="34"/>
  <c r="V2164" i="34"/>
  <c r="V2044" i="34"/>
  <c r="V1171" i="34"/>
  <c r="V1179" i="34"/>
  <c r="V1472" i="34"/>
  <c r="V2180" i="34"/>
  <c r="V2188" i="34"/>
  <c r="V1470" i="34"/>
  <c r="V2183" i="34"/>
  <c r="V1636" i="34"/>
  <c r="V2087" i="34"/>
  <c r="V2179" i="34"/>
  <c r="V1244" i="34"/>
  <c r="V970" i="34"/>
  <c r="V1032" i="34"/>
  <c r="V1122" i="34"/>
  <c r="V2185" i="34"/>
  <c r="V1630" i="34"/>
  <c r="V1674" i="34"/>
  <c r="V1762" i="34"/>
  <c r="V1946" i="34"/>
  <c r="V1677" i="34"/>
  <c r="V1683" i="34"/>
  <c r="V1757" i="34"/>
  <c r="V1524" i="34"/>
  <c r="V2050" i="34"/>
  <c r="V2102" i="34"/>
  <c r="V2132" i="34"/>
  <c r="V2160" i="34"/>
  <c r="V1255" i="34"/>
  <c r="V1406" i="34"/>
  <c r="V1936" i="34"/>
  <c r="V1565" i="34"/>
  <c r="V1751" i="34"/>
  <c r="V1175" i="34"/>
  <c r="V1183" i="34"/>
  <c r="V2184" i="34"/>
  <c r="V1637" i="34"/>
  <c r="V1245" i="34"/>
  <c r="V971" i="34"/>
  <c r="V1033" i="34"/>
  <c r="V1123" i="34"/>
  <c r="V1759" i="34"/>
  <c r="V2052" i="34"/>
  <c r="V2104" i="34"/>
  <c r="V2134" i="34"/>
  <c r="V2162" i="34"/>
  <c r="V1187" i="34"/>
  <c r="V1257" i="34"/>
  <c r="V1512" i="34"/>
  <c r="V1627" i="34"/>
  <c r="V1129" i="34"/>
  <c r="V1177" i="34"/>
  <c r="V1185" i="34"/>
  <c r="V2182" i="34"/>
  <c r="V2190" i="34"/>
  <c r="V1635" i="34"/>
  <c r="V2086" i="34"/>
  <c r="V2178" i="34"/>
  <c r="V1243" i="34"/>
  <c r="V2024" i="34"/>
  <c r="V969" i="34"/>
  <c r="V1031" i="34"/>
  <c r="V1121" i="34"/>
  <c r="V1978" i="34"/>
  <c r="V2051" i="34"/>
  <c r="V2103" i="34"/>
  <c r="V2133" i="34"/>
  <c r="V2161" i="34"/>
  <c r="V1186" i="34"/>
  <c r="V1256" i="34"/>
  <c r="V1407" i="34"/>
  <c r="V1566" i="34"/>
  <c r="V1752" i="34"/>
  <c r="V978" i="34"/>
  <c r="V1176" i="34"/>
  <c r="V1184" i="34"/>
  <c r="V2181" i="34"/>
  <c r="V1471" i="34"/>
  <c r="V2177" i="34"/>
  <c r="V1339" i="34"/>
  <c r="V2023" i="34"/>
  <c r="V968" i="34"/>
  <c r="V1030" i="34"/>
  <c r="V1120" i="34"/>
  <c r="V148" i="34"/>
  <c r="V1640" i="34"/>
  <c r="V1676" i="34"/>
  <c r="V1682" i="34"/>
  <c r="V1756" i="34"/>
  <c r="V1523" i="34"/>
  <c r="V2049" i="34"/>
  <c r="V2101" i="34"/>
  <c r="V2109" i="34"/>
  <c r="V2131" i="34"/>
  <c r="V2159" i="34"/>
  <c r="V1254" i="34"/>
  <c r="V1427" i="34"/>
  <c r="V1174" i="34"/>
  <c r="V1182" i="34"/>
  <c r="V2460" i="34"/>
  <c r="V1977" i="34"/>
  <c r="V1338" i="34"/>
  <c r="V1937" i="34"/>
  <c r="V1480" i="34"/>
  <c r="V967" i="34"/>
  <c r="V1029" i="34"/>
  <c r="V1119" i="34"/>
  <c r="V1631" i="34"/>
  <c r="V1675" i="34"/>
  <c r="V1681" i="34"/>
  <c r="V1755" i="34"/>
  <c r="V1522" i="34"/>
  <c r="V2048" i="34"/>
  <c r="V2100" i="34"/>
  <c r="V2108" i="34"/>
  <c r="V2130" i="34"/>
  <c r="V2158" i="34"/>
  <c r="V1253" i="34"/>
  <c r="V1426" i="34"/>
  <c r="V1173" i="34"/>
  <c r="V1181" i="34"/>
  <c r="V2186" i="34"/>
  <c r="V1647" i="34"/>
  <c r="V1478" i="34"/>
  <c r="V973" i="34"/>
  <c r="V1027" i="34"/>
  <c r="V1117" i="34"/>
  <c r="V2047" i="34"/>
  <c r="V2099" i="34"/>
  <c r="V2107" i="34"/>
  <c r="V2129" i="34"/>
  <c r="V2157" i="34"/>
  <c r="V2165" i="34"/>
  <c r="V1172" i="34"/>
  <c r="V1180" i="34"/>
  <c r="V1638" i="34"/>
  <c r="V1477" i="34"/>
  <c r="V972" i="34"/>
  <c r="V1026" i="34"/>
  <c r="V1034" i="34"/>
  <c r="V1760" i="34"/>
  <c r="V2045" i="34"/>
  <c r="V2105" i="34"/>
  <c r="V2135" i="34"/>
  <c r="V2163" i="34"/>
  <c r="V1188" i="34"/>
  <c r="V1258" i="34"/>
  <c r="V1513" i="34"/>
  <c r="V1628" i="34"/>
  <c r="V1130" i="34"/>
  <c r="V1178" i="34"/>
  <c r="V1976" i="34"/>
  <c r="V1979" i="34"/>
  <c r="V574" i="34"/>
  <c r="V582" i="34"/>
  <c r="V588" i="34"/>
  <c r="V620" i="34"/>
  <c r="V776" i="34"/>
  <c r="V952" i="34"/>
  <c r="V1089" i="34"/>
  <c r="V600" i="34"/>
  <c r="V553" i="34"/>
  <c r="V1204" i="34"/>
  <c r="V150" i="34"/>
  <c r="V505" i="34"/>
  <c r="V517" i="34"/>
  <c r="V539" i="34"/>
  <c r="V622" i="34"/>
  <c r="V626" i="34"/>
  <c r="V632" i="34"/>
  <c r="V962" i="34"/>
  <c r="V1036" i="34"/>
  <c r="V1044" i="34"/>
  <c r="V572" i="34"/>
  <c r="V580" i="34"/>
  <c r="V818" i="34"/>
  <c r="V618" i="34"/>
  <c r="V982" i="34"/>
  <c r="V1008" i="34"/>
  <c r="V603" i="34"/>
  <c r="V153" i="34"/>
  <c r="V508" i="34"/>
  <c r="V520" i="34"/>
  <c r="V534" i="34"/>
  <c r="V715" i="34"/>
  <c r="V807" i="34"/>
  <c r="V817" i="34"/>
  <c r="V983" i="34"/>
  <c r="V1039" i="34"/>
  <c r="V1047" i="34"/>
  <c r="V891" i="34"/>
  <c r="V575" i="34"/>
  <c r="V583" i="34"/>
  <c r="V589" i="34"/>
  <c r="V621" i="34"/>
  <c r="V777" i="34"/>
  <c r="V953" i="34"/>
  <c r="V1092" i="34"/>
  <c r="V601" i="34"/>
  <c r="V554" i="34"/>
  <c r="V1205" i="34"/>
  <c r="V151" i="34"/>
  <c r="V506" i="34"/>
  <c r="V518" i="34"/>
  <c r="V540" i="34"/>
  <c r="V627" i="34"/>
  <c r="V633" i="34"/>
  <c r="V713" i="34"/>
  <c r="V767" i="34"/>
  <c r="V815" i="34"/>
  <c r="V1037" i="34"/>
  <c r="V1003" i="34"/>
  <c r="V592" i="34"/>
  <c r="V560" i="34"/>
  <c r="V570" i="34"/>
  <c r="V578" i="34"/>
  <c r="V499" i="34"/>
  <c r="V702" i="34"/>
  <c r="V1006" i="34"/>
  <c r="V1090" i="34"/>
  <c r="V513" i="34"/>
  <c r="V521" i="34"/>
  <c r="V535" i="34"/>
  <c r="V716" i="34"/>
  <c r="V808" i="34"/>
  <c r="V166" i="34"/>
  <c r="V984" i="34"/>
  <c r="V1040" i="34"/>
  <c r="V1048" i="34"/>
  <c r="V590" i="34"/>
  <c r="V892" i="34"/>
  <c r="V568" i="34"/>
  <c r="V576" i="34"/>
  <c r="V584" i="34"/>
  <c r="V497" i="34"/>
  <c r="V954" i="34"/>
  <c r="V599" i="34"/>
  <c r="V552" i="34"/>
  <c r="V1203" i="34"/>
  <c r="V149" i="34"/>
  <c r="V516" i="34"/>
  <c r="V538" i="34"/>
  <c r="V550" i="34"/>
  <c r="V617" i="34"/>
  <c r="V625" i="34"/>
  <c r="V631" i="34"/>
  <c r="V961" i="34"/>
  <c r="V1035" i="34"/>
  <c r="V1043" i="34"/>
  <c r="V1051" i="34"/>
  <c r="V593" i="34"/>
  <c r="V561" i="34"/>
  <c r="V571" i="34"/>
  <c r="V579" i="34"/>
  <c r="V482" i="34"/>
  <c r="V559" i="34"/>
  <c r="V703" i="34"/>
  <c r="V1007" i="34"/>
  <c r="V1091" i="34"/>
  <c r="V597" i="34"/>
  <c r="V514" i="34"/>
  <c r="V522" i="34"/>
  <c r="V536" i="34"/>
  <c r="V615" i="34"/>
  <c r="V623" i="34"/>
  <c r="V783" i="34"/>
  <c r="V167" i="34"/>
  <c r="V1041" i="34"/>
  <c r="V1049" i="34"/>
  <c r="V1107" i="34"/>
  <c r="V591" i="34"/>
  <c r="V551" i="34"/>
  <c r="V555" i="34"/>
  <c r="V569" i="34"/>
  <c r="V577" i="34"/>
  <c r="V498" i="34"/>
  <c r="V598" i="34"/>
  <c r="V1202" i="34"/>
  <c r="V515" i="34"/>
  <c r="V523" i="34"/>
  <c r="V537" i="34"/>
  <c r="V616" i="34"/>
  <c r="V624" i="34"/>
  <c r="V784" i="34"/>
  <c r="V168" i="34"/>
  <c r="V960" i="34"/>
  <c r="V1002" i="34"/>
  <c r="V1042" i="34"/>
  <c r="V1086" i="34"/>
  <c r="V1050" i="34"/>
  <c r="V1045" i="34"/>
  <c r="V1127" i="34"/>
  <c r="V573" i="34"/>
  <c r="V581" i="34"/>
  <c r="V587" i="34"/>
  <c r="V861" i="34"/>
  <c r="V619" i="34"/>
  <c r="V1009" i="34"/>
  <c r="V602" i="34"/>
  <c r="V152" i="34"/>
  <c r="V507" i="34"/>
  <c r="V519" i="34"/>
  <c r="V541" i="34"/>
  <c r="V628" i="34"/>
  <c r="V634" i="34"/>
  <c r="V714" i="34"/>
  <c r="V768" i="34"/>
  <c r="V816" i="34"/>
  <c r="V1038" i="34"/>
  <c r="V1004" i="34"/>
  <c r="V1046" i="34"/>
  <c r="V1082" i="34"/>
  <c r="V2035" i="34"/>
  <c r="V3211" i="34"/>
  <c r="V3209" i="34"/>
  <c r="V119" i="34"/>
  <c r="V3210" i="34"/>
  <c r="V2592" i="34"/>
  <c r="V2816" i="34"/>
  <c r="V2782" i="34"/>
  <c r="V2524" i="34"/>
  <c r="V2915" i="34"/>
  <c r="V2724" i="34"/>
  <c r="V2530" i="34"/>
  <c r="V3161" i="34"/>
  <c r="V3199" i="34"/>
  <c r="V3207" i="34"/>
  <c r="V3099" i="34"/>
  <c r="V3107" i="34"/>
  <c r="V3115" i="34"/>
  <c r="V3157" i="34"/>
  <c r="V3175" i="34"/>
  <c r="V3245" i="34"/>
  <c r="V3253" i="34"/>
  <c r="V3261" i="34"/>
  <c r="V3269" i="34"/>
  <c r="V3277" i="34"/>
  <c r="V3015" i="34"/>
  <c r="V2997" i="34"/>
  <c r="V3085" i="34"/>
  <c r="V3003" i="34"/>
  <c r="V3309" i="34"/>
  <c r="V3295" i="34"/>
  <c r="V2866" i="34"/>
  <c r="V2650" i="34"/>
  <c r="V2600" i="34"/>
  <c r="V2506" i="34"/>
  <c r="V2528" i="34"/>
  <c r="V2975" i="34"/>
  <c r="V2858" i="34"/>
  <c r="V2850" i="34"/>
  <c r="V2842" i="34"/>
  <c r="V2834" i="34"/>
  <c r="V2752" i="34"/>
  <c r="V2746" i="34"/>
  <c r="V2762" i="34"/>
  <c r="V2716" i="34"/>
  <c r="V2586" i="34"/>
  <c r="V2578" i="34"/>
  <c r="V2542" i="34"/>
  <c r="V3317" i="34"/>
  <c r="V3123" i="34"/>
  <c r="V3131" i="34"/>
  <c r="V3139" i="34"/>
  <c r="V3147" i="34"/>
  <c r="V3191" i="34"/>
  <c r="V3287" i="34"/>
  <c r="V3241" i="34"/>
  <c r="V3037" i="34"/>
  <c r="V3045" i="34"/>
  <c r="V3053" i="34"/>
  <c r="V3061" i="34"/>
  <c r="V3069" i="34"/>
  <c r="V2863" i="34"/>
  <c r="V2793" i="34"/>
  <c r="V2537" i="34"/>
  <c r="V2595" i="34"/>
  <c r="V2503" i="34"/>
  <c r="V2972" i="34"/>
  <c r="V2855" i="34"/>
  <c r="V2847" i="34"/>
  <c r="V2839" i="34"/>
  <c r="V2739" i="34"/>
  <c r="V2583" i="34"/>
  <c r="V2575" i="34"/>
  <c r="V3316" i="34"/>
  <c r="V3122" i="34"/>
  <c r="V3130" i="34"/>
  <c r="V3138" i="34"/>
  <c r="V3146" i="34"/>
  <c r="V3190" i="34"/>
  <c r="V3286" i="34"/>
  <c r="V2982" i="34"/>
  <c r="V3028" i="34"/>
  <c r="V3365" i="34"/>
  <c r="V3044" i="34"/>
  <c r="V3052" i="34"/>
  <c r="V3060" i="34"/>
  <c r="V3068" i="34"/>
  <c r="V3166" i="34"/>
  <c r="V3174" i="34"/>
  <c r="V3240" i="34"/>
  <c r="V3232" i="34"/>
  <c r="V3224" i="34"/>
  <c r="V3216" i="34"/>
  <c r="V3180" i="34"/>
  <c r="V3080" i="34"/>
  <c r="V3072" i="34"/>
  <c r="V3018" i="34"/>
  <c r="V3012" i="34"/>
  <c r="V3304" i="34"/>
  <c r="V2815" i="34"/>
  <c r="V2781" i="34"/>
  <c r="V2535" i="34"/>
  <c r="V2469" i="34"/>
  <c r="V2723" i="34"/>
  <c r="V2529" i="34"/>
  <c r="V3196" i="34"/>
  <c r="V3204" i="34"/>
  <c r="V3322" i="34"/>
  <c r="V3096" i="34"/>
  <c r="V3104" i="34"/>
  <c r="V3112" i="34"/>
  <c r="V3250" i="34"/>
  <c r="V3258" i="34"/>
  <c r="V3266" i="34"/>
  <c r="V3274" i="34"/>
  <c r="V3282" i="34"/>
  <c r="V2984" i="34"/>
  <c r="V2990" i="34"/>
  <c r="V2648" i="34"/>
  <c r="V2812" i="34"/>
  <c r="V2606" i="34"/>
  <c r="V2590" i="34"/>
  <c r="V2538" i="34"/>
  <c r="V2532" i="34"/>
  <c r="V2919" i="34"/>
  <c r="V2732" i="34"/>
  <c r="V2512" i="34"/>
  <c r="V3203" i="34"/>
  <c r="V3095" i="34"/>
  <c r="V3103" i="34"/>
  <c r="V3111" i="34"/>
  <c r="V3249" i="34"/>
  <c r="V3257" i="34"/>
  <c r="V3265" i="34"/>
  <c r="V3273" i="34"/>
  <c r="V3281" i="34"/>
  <c r="V2993" i="34"/>
  <c r="V3089" i="34"/>
  <c r="V3031" i="34"/>
  <c r="V2999" i="34"/>
  <c r="V3291" i="34"/>
  <c r="V2870" i="34"/>
  <c r="V2862" i="34"/>
  <c r="V2792" i="34"/>
  <c r="V2536" i="34"/>
  <c r="V2594" i="34"/>
  <c r="V2971" i="34"/>
  <c r="V2854" i="34"/>
  <c r="V2846" i="34"/>
  <c r="V2838" i="34"/>
  <c r="V2582" i="34"/>
  <c r="V2574" i="34"/>
  <c r="V3313" i="34"/>
  <c r="V3321" i="34"/>
  <c r="V3119" i="34"/>
  <c r="V3127" i="34"/>
  <c r="V3135" i="34"/>
  <c r="V3143" i="34"/>
  <c r="V3151" i="34"/>
  <c r="V3187" i="34"/>
  <c r="V3195" i="34"/>
  <c r="V3029" i="34"/>
  <c r="V3041" i="34"/>
  <c r="V3049" i="34"/>
  <c r="V3057" i="34"/>
  <c r="V3065" i="34"/>
  <c r="V3153" i="34"/>
  <c r="V3163" i="34"/>
  <c r="V2871" i="34"/>
  <c r="V2867" i="34"/>
  <c r="V2651" i="34"/>
  <c r="V2601" i="34"/>
  <c r="V2859" i="34"/>
  <c r="V2851" i="34"/>
  <c r="V2843" i="34"/>
  <c r="V2835" i="34"/>
  <c r="V2753" i="34"/>
  <c r="V2747" i="34"/>
  <c r="V2763" i="34"/>
  <c r="V2717" i="34"/>
  <c r="V2587" i="34"/>
  <c r="V2579" i="34"/>
  <c r="V2523" i="34"/>
  <c r="V2543" i="34"/>
  <c r="V3312" i="34"/>
  <c r="V3320" i="34"/>
  <c r="V3118" i="34"/>
  <c r="V3126" i="34"/>
  <c r="V3134" i="34"/>
  <c r="V3142" i="34"/>
  <c r="V3150" i="34"/>
  <c r="V3186" i="34"/>
  <c r="V3194" i="34"/>
  <c r="V3040" i="34"/>
  <c r="V3048" i="34"/>
  <c r="V3056" i="34"/>
  <c r="V3064" i="34"/>
  <c r="V3152" i="34"/>
  <c r="V3162" i="34"/>
  <c r="V3170" i="34"/>
  <c r="V3236" i="34"/>
  <c r="V3228" i="34"/>
  <c r="V3220" i="34"/>
  <c r="V3212" i="34"/>
  <c r="V3176" i="34"/>
  <c r="V3076" i="34"/>
  <c r="V3022" i="34"/>
  <c r="V3008" i="34"/>
  <c r="V2986" i="34"/>
  <c r="V3300" i="34"/>
  <c r="V2765" i="34"/>
  <c r="V2647" i="34"/>
  <c r="V2811" i="34"/>
  <c r="V2605" i="34"/>
  <c r="V2531" i="34"/>
  <c r="V2918" i="34"/>
  <c r="V2767" i="34"/>
  <c r="V2731" i="34"/>
  <c r="V2517" i="34"/>
  <c r="V2511" i="34"/>
  <c r="V3200" i="34"/>
  <c r="V3100" i="34"/>
  <c r="V3108" i="34"/>
  <c r="V3116" i="34"/>
  <c r="V3158" i="34"/>
  <c r="V3246" i="34"/>
  <c r="V3254" i="34"/>
  <c r="V3262" i="34"/>
  <c r="V3270" i="34"/>
  <c r="V3278" i="34"/>
  <c r="V2998" i="34"/>
  <c r="V3208" i="34"/>
  <c r="V3167" i="34"/>
  <c r="V3235" i="34"/>
  <c r="V3227" i="34"/>
  <c r="V3219" i="34"/>
  <c r="V3183" i="34"/>
  <c r="V3083" i="34"/>
  <c r="V3075" i="34"/>
  <c r="V3021" i="34"/>
  <c r="V3007" i="34"/>
  <c r="V2985" i="34"/>
  <c r="V2654" i="34"/>
  <c r="V2604" i="34"/>
  <c r="V2526" i="34"/>
  <c r="V2917" i="34"/>
  <c r="V2766" i="34"/>
  <c r="V2730" i="34"/>
  <c r="V2516" i="34"/>
  <c r="V2522" i="34"/>
  <c r="V3159" i="34"/>
  <c r="V3197" i="34"/>
  <c r="V3205" i="34"/>
  <c r="V3097" i="34"/>
  <c r="V3105" i="34"/>
  <c r="V3113" i="34"/>
  <c r="V3251" i="34"/>
  <c r="V3259" i="34"/>
  <c r="V3267" i="34"/>
  <c r="V3275" i="34"/>
  <c r="V3283" i="34"/>
  <c r="V2991" i="34"/>
  <c r="V3087" i="34"/>
  <c r="V3005" i="34"/>
  <c r="V3311" i="34"/>
  <c r="V3297" i="34"/>
  <c r="V3289" i="34"/>
  <c r="V2868" i="34"/>
  <c r="V2652" i="34"/>
  <c r="V2794" i="34"/>
  <c r="V2860" i="34"/>
  <c r="V2852" i="34"/>
  <c r="V2844" i="34"/>
  <c r="V2836" i="34"/>
  <c r="V2748" i="34"/>
  <c r="V2764" i="34"/>
  <c r="V2718" i="34"/>
  <c r="V2588" i="34"/>
  <c r="V2580" i="34"/>
  <c r="V2572" i="34"/>
  <c r="V2544" i="34"/>
  <c r="V3315" i="34"/>
  <c r="V2995" i="34"/>
  <c r="V3121" i="34"/>
  <c r="V3129" i="34"/>
  <c r="V3137" i="34"/>
  <c r="V3145" i="34"/>
  <c r="V3189" i="34"/>
  <c r="V3092" i="34"/>
  <c r="V3084" i="34"/>
  <c r="V3034" i="34"/>
  <c r="V3002" i="34"/>
  <c r="V3308" i="34"/>
  <c r="V3294" i="34"/>
  <c r="V2521" i="34"/>
  <c r="V2865" i="34"/>
  <c r="V2661" i="34"/>
  <c r="V2791" i="34"/>
  <c r="V2599" i="34"/>
  <c r="V2597" i="34"/>
  <c r="V2505" i="34"/>
  <c r="V2527" i="34"/>
  <c r="V2974" i="34"/>
  <c r="V2857" i="34"/>
  <c r="V2849" i="34"/>
  <c r="V2841" i="34"/>
  <c r="V2833" i="34"/>
  <c r="V2751" i="34"/>
  <c r="V2741" i="34"/>
  <c r="V2585" i="34"/>
  <c r="V2577" i="34"/>
  <c r="V2541" i="34"/>
  <c r="V3314" i="34"/>
  <c r="V3120" i="34"/>
  <c r="V3128" i="34"/>
  <c r="V3136" i="34"/>
  <c r="V3144" i="34"/>
  <c r="V3188" i="34"/>
  <c r="V3284" i="34"/>
  <c r="V3006" i="34"/>
  <c r="V3026" i="34"/>
  <c r="V3363" i="34"/>
  <c r="V3030" i="34"/>
  <c r="V3042" i="34"/>
  <c r="V3050" i="34"/>
  <c r="V3058" i="34"/>
  <c r="V3066" i="34"/>
  <c r="V3154" i="34"/>
  <c r="V3164" i="34"/>
  <c r="V3172" i="34"/>
  <c r="V2994" i="34"/>
  <c r="V3234" i="34"/>
  <c r="V3226" i="34"/>
  <c r="V3218" i="34"/>
  <c r="V3182" i="34"/>
  <c r="V3082" i="34"/>
  <c r="V3074" i="34"/>
  <c r="V3020" i="34"/>
  <c r="V3306" i="34"/>
  <c r="V2872" i="34"/>
  <c r="V2603" i="34"/>
  <c r="V2525" i="34"/>
  <c r="V2916" i="34"/>
  <c r="V2729" i="34"/>
  <c r="V2515" i="34"/>
  <c r="V3202" i="34"/>
  <c r="V3094" i="34"/>
  <c r="V3102" i="34"/>
  <c r="V3110" i="34"/>
  <c r="V3171" i="34"/>
  <c r="V3239" i="34"/>
  <c r="V3231" i="34"/>
  <c r="V3223" i="34"/>
  <c r="V3215" i="34"/>
  <c r="V3179" i="34"/>
  <c r="V3079" i="34"/>
  <c r="V3025" i="34"/>
  <c r="V3017" i="34"/>
  <c r="V3011" i="34"/>
  <c r="V2989" i="34"/>
  <c r="V3303" i="34"/>
  <c r="V2802" i="34"/>
  <c r="V2800" i="34"/>
  <c r="V2534" i="34"/>
  <c r="V2921" i="34"/>
  <c r="V2734" i="34"/>
  <c r="V2722" i="34"/>
  <c r="V3201" i="34"/>
  <c r="V3093" i="34"/>
  <c r="V3101" i="34"/>
  <c r="V3109" i="34"/>
  <c r="V3117" i="34"/>
  <c r="V3247" i="34"/>
  <c r="V3255" i="34"/>
  <c r="V3263" i="34"/>
  <c r="V3271" i="34"/>
  <c r="V3279" i="34"/>
  <c r="V3091" i="34"/>
  <c r="V3033" i="34"/>
  <c r="V3001" i="34"/>
  <c r="V3293" i="34"/>
  <c r="V2864" i="34"/>
  <c r="V2660" i="34"/>
  <c r="V2790" i="34"/>
  <c r="V2598" i="34"/>
  <c r="V2596" i="34"/>
  <c r="V2504" i="34"/>
  <c r="V2973" i="34"/>
  <c r="V2856" i="34"/>
  <c r="V2848" i="34"/>
  <c r="V2840" i="34"/>
  <c r="V2832" i="34"/>
  <c r="V2740" i="34"/>
  <c r="V2584" i="34"/>
  <c r="V2576" i="34"/>
  <c r="V2540" i="34"/>
  <c r="V3307" i="34"/>
  <c r="V3319" i="34"/>
  <c r="V3125" i="34"/>
  <c r="V3133" i="34"/>
  <c r="V3141" i="34"/>
  <c r="V3149" i="34"/>
  <c r="V3185" i="34"/>
  <c r="V3088" i="34"/>
  <c r="V3298" i="34"/>
  <c r="V3290" i="34"/>
  <c r="V2869" i="34"/>
  <c r="V2789" i="34"/>
  <c r="V2795" i="34"/>
  <c r="V2593" i="34"/>
  <c r="V2861" i="34"/>
  <c r="V2853" i="34"/>
  <c r="V2845" i="34"/>
  <c r="V2837" i="34"/>
  <c r="V2589" i="34"/>
  <c r="V2581" i="34"/>
  <c r="V2573" i="34"/>
  <c r="V2545" i="34"/>
  <c r="V3318" i="34"/>
  <c r="V3036" i="34"/>
  <c r="V3124" i="34"/>
  <c r="V3132" i="34"/>
  <c r="V3140" i="34"/>
  <c r="V3148" i="34"/>
  <c r="V3184" i="34"/>
  <c r="V3192" i="34"/>
  <c r="V3288" i="34"/>
  <c r="V3242" i="34"/>
  <c r="V3038" i="34"/>
  <c r="V3046" i="34"/>
  <c r="V3054" i="34"/>
  <c r="V3062" i="34"/>
  <c r="V3070" i="34"/>
  <c r="V3168" i="34"/>
  <c r="V3238" i="34"/>
  <c r="V3230" i="34"/>
  <c r="V3222" i="34"/>
  <c r="V3214" i="34"/>
  <c r="V3178" i="34"/>
  <c r="V3078" i="34"/>
  <c r="V3024" i="34"/>
  <c r="V3016" i="34"/>
  <c r="V3010" i="34"/>
  <c r="V2988" i="34"/>
  <c r="V3302" i="34"/>
  <c r="V2787" i="34"/>
  <c r="V2801" i="34"/>
  <c r="V2799" i="34"/>
  <c r="V2591" i="34"/>
  <c r="V2539" i="34"/>
  <c r="V2533" i="34"/>
  <c r="V2920" i="34"/>
  <c r="V2733" i="34"/>
  <c r="V3160" i="34"/>
  <c r="V3198" i="34"/>
  <c r="V3206" i="34"/>
  <c r="V3098" i="34"/>
  <c r="V3106" i="34"/>
  <c r="V3114" i="34"/>
  <c r="V3156" i="34"/>
  <c r="V3248" i="34"/>
  <c r="V3256" i="34"/>
  <c r="V3264" i="34"/>
  <c r="V3272" i="34"/>
  <c r="V3280" i="34"/>
  <c r="V3364" i="34"/>
  <c r="V2992" i="34"/>
  <c r="V3086" i="34"/>
  <c r="V3004" i="34"/>
  <c r="V3310" i="34"/>
  <c r="V3296" i="34"/>
  <c r="V3193" i="34"/>
  <c r="V2983" i="34"/>
  <c r="V3013" i="34"/>
  <c r="V3039" i="34"/>
  <c r="V3047" i="34"/>
  <c r="V3055" i="34"/>
  <c r="V3063" i="34"/>
  <c r="V3071" i="34"/>
  <c r="V3169" i="34"/>
  <c r="V3233" i="34"/>
  <c r="V3225" i="34"/>
  <c r="V3217" i="34"/>
  <c r="V3181" i="34"/>
  <c r="V3081" i="34"/>
  <c r="V3073" i="34"/>
  <c r="V3019" i="34"/>
  <c r="V3305" i="34"/>
  <c r="V3244" i="34"/>
  <c r="V3252" i="34"/>
  <c r="V3260" i="34"/>
  <c r="V3268" i="34"/>
  <c r="V3276" i="34"/>
  <c r="V2996" i="34"/>
  <c r="V3090" i="34"/>
  <c r="V3032" i="34"/>
  <c r="V3014" i="34"/>
  <c r="V3000" i="34"/>
  <c r="V3292" i="34"/>
  <c r="V3285" i="34"/>
  <c r="V3299" i="34"/>
  <c r="V3027" i="34"/>
  <c r="V3043" i="34"/>
  <c r="V3051" i="34"/>
  <c r="V3059" i="34"/>
  <c r="V3067" i="34"/>
  <c r="V3155" i="34"/>
  <c r="V3165" i="34"/>
  <c r="V3173" i="34"/>
  <c r="V3035" i="34"/>
  <c r="V3237" i="34"/>
  <c r="V3229" i="34"/>
  <c r="V3221" i="34"/>
  <c r="V3213" i="34"/>
  <c r="V3177" i="34"/>
  <c r="V3077" i="34"/>
  <c r="V3023" i="34"/>
  <c r="V3009" i="34"/>
  <c r="V2987" i="34"/>
  <c r="V3301" i="34"/>
  <c r="V2351" i="34"/>
  <c r="V2391" i="34"/>
  <c r="V2385" i="34"/>
  <c r="V2349" i="34"/>
  <c r="V2414" i="34"/>
  <c r="V3361" i="34"/>
  <c r="V2350" i="34"/>
  <c r="V2386" i="34"/>
  <c r="V2352" i="34"/>
  <c r="V2950" i="34"/>
  <c r="V2393" i="34"/>
  <c r="V2419" i="34"/>
  <c r="V2383" i="34"/>
  <c r="V2417" i="34"/>
  <c r="V2415" i="34"/>
  <c r="V2389" i="34"/>
  <c r="V2387" i="34"/>
  <c r="V2390" i="34"/>
  <c r="V2388" i="34"/>
  <c r="V2451" i="34"/>
  <c r="V2418" i="34"/>
  <c r="V2416" i="34"/>
  <c r="V2662" i="34"/>
  <c r="V2624" i="34"/>
  <c r="V2432" i="34"/>
  <c r="V2935" i="34"/>
  <c r="V2450" i="34"/>
  <c r="V2446" i="34"/>
  <c r="V2267" i="34"/>
  <c r="V2279" i="34"/>
  <c r="V2566" i="34"/>
  <c r="V2682" i="34"/>
  <c r="V2686" i="34"/>
  <c r="V2776" i="34"/>
  <c r="V2967" i="34"/>
  <c r="V2466" i="34"/>
  <c r="V2478" i="34"/>
  <c r="V2486" i="34"/>
  <c r="V2630" i="34"/>
  <c r="V2321" i="34"/>
  <c r="V2375" i="34"/>
  <c r="V2492" i="34"/>
  <c r="V2658" i="34"/>
  <c r="V2901" i="34"/>
  <c r="V2945" i="34"/>
  <c r="V2560" i="34"/>
  <c r="V2452" i="34"/>
  <c r="V2235" i="34"/>
  <c r="V2454" i="34"/>
  <c r="V2343" i="34"/>
  <c r="V2249" i="34"/>
  <c r="V2257" i="34"/>
  <c r="V2295" i="34"/>
  <c r="V2307" i="34"/>
  <c r="V2355" i="34"/>
  <c r="V2363" i="34"/>
  <c r="V1024" i="34"/>
  <c r="V1078" i="34"/>
  <c r="V1515" i="34"/>
  <c r="V1993" i="34"/>
  <c r="V2065" i="34"/>
  <c r="V2155" i="34"/>
  <c r="V2676" i="34"/>
  <c r="V2913" i="34"/>
  <c r="V2546" i="34"/>
  <c r="V2616" i="34"/>
  <c r="V2397" i="34"/>
  <c r="V2610" i="34"/>
  <c r="V2281" i="34"/>
  <c r="V2227" i="34"/>
  <c r="V2263" i="34"/>
  <c r="V2121" i="34"/>
  <c r="V2664" i="34"/>
  <c r="V2670" i="34"/>
  <c r="V2565" i="34"/>
  <c r="V2681" i="34"/>
  <c r="V2970" i="34"/>
  <c r="V2485" i="34"/>
  <c r="V2424" i="34"/>
  <c r="V2382" i="34"/>
  <c r="V2491" i="34"/>
  <c r="V2342" i="34"/>
  <c r="V2298" i="34"/>
  <c r="V2310" i="34"/>
  <c r="V1077" i="34"/>
  <c r="V1992" i="34"/>
  <c r="V2663" i="34"/>
  <c r="V2669" i="34"/>
  <c r="V2689" i="34"/>
  <c r="V2749" i="34"/>
  <c r="V2825" i="34"/>
  <c r="V2914" i="34"/>
  <c r="V2547" i="34"/>
  <c r="V2617" i="34"/>
  <c r="V2625" i="34"/>
  <c r="V2398" i="34"/>
  <c r="V2234" i="34"/>
  <c r="V2404" i="34"/>
  <c r="V2412" i="34"/>
  <c r="V2437" i="34"/>
  <c r="V2936" i="34"/>
  <c r="V2952" i="34"/>
  <c r="V2960" i="34"/>
  <c r="V2493" i="34"/>
  <c r="V2501" i="34"/>
  <c r="V3362" i="34"/>
  <c r="V2286" i="34"/>
  <c r="V2420" i="34"/>
  <c r="V2264" i="34"/>
  <c r="V2272" i="34"/>
  <c r="V1167" i="34"/>
  <c r="V1703" i="34"/>
  <c r="V2096" i="34"/>
  <c r="V2122" i="34"/>
  <c r="V2174" i="34"/>
  <c r="V2204" i="34"/>
  <c r="V2212" i="34"/>
  <c r="V2481" i="34"/>
  <c r="V2428" i="34"/>
  <c r="V2445" i="34"/>
  <c r="V2948" i="34"/>
  <c r="V2519" i="34"/>
  <c r="V2328" i="34"/>
  <c r="V2346" i="34"/>
  <c r="V2302" i="34"/>
  <c r="V2314" i="34"/>
  <c r="V1023" i="34"/>
  <c r="V2571" i="34"/>
  <c r="V2679" i="34"/>
  <c r="V2744" i="34"/>
  <c r="V2909" i="34"/>
  <c r="V2612" i="34"/>
  <c r="V2899" i="34"/>
  <c r="V2955" i="34"/>
  <c r="V2496" i="34"/>
  <c r="V2285" i="34"/>
  <c r="V1166" i="34"/>
  <c r="V1373" i="34"/>
  <c r="V1702" i="34"/>
  <c r="V2570" i="34"/>
  <c r="V2678" i="34"/>
  <c r="V2728" i="34"/>
  <c r="V2462" i="34"/>
  <c r="V2474" i="34"/>
  <c r="V2482" i="34"/>
  <c r="V2490" i="34"/>
  <c r="V2425" i="34"/>
  <c r="V2429" i="34"/>
  <c r="V2317" i="34"/>
  <c r="V2325" i="34"/>
  <c r="V2371" i="34"/>
  <c r="V2379" i="34"/>
  <c r="V2520" i="34"/>
  <c r="V2510" i="34"/>
  <c r="V2556" i="34"/>
  <c r="V2564" i="34"/>
  <c r="V2239" i="34"/>
  <c r="V2329" i="34"/>
  <c r="V2335" i="34"/>
  <c r="V2339" i="34"/>
  <c r="V2347" i="34"/>
  <c r="V2440" i="34"/>
  <c r="V2241" i="34"/>
  <c r="V2245" i="34"/>
  <c r="V2253" i="34"/>
  <c r="V2299" i="34"/>
  <c r="V2353" i="34"/>
  <c r="V2303" i="34"/>
  <c r="V2311" i="34"/>
  <c r="V2359" i="34"/>
  <c r="V1234" i="34"/>
  <c r="V1395" i="34"/>
  <c r="V1475" i="34"/>
  <c r="V1989" i="34"/>
  <c r="V2061" i="34"/>
  <c r="V2151" i="34"/>
  <c r="V2668" i="34"/>
  <c r="V2768" i="34"/>
  <c r="V2828" i="34"/>
  <c r="V2628" i="34"/>
  <c r="V2634" i="34"/>
  <c r="V2411" i="34"/>
  <c r="V2931" i="34"/>
  <c r="V2963" i="34"/>
  <c r="V2289" i="34"/>
  <c r="V1160" i="34"/>
  <c r="V1242" i="34"/>
  <c r="V1469" i="34"/>
  <c r="V1660" i="34"/>
  <c r="V1722" i="34"/>
  <c r="V2173" i="34"/>
  <c r="V2207" i="34"/>
  <c r="V2674" i="34"/>
  <c r="V2727" i="34"/>
  <c r="V2477" i="34"/>
  <c r="V2368" i="34"/>
  <c r="V2316" i="34"/>
  <c r="V2370" i="34"/>
  <c r="V2555" i="34"/>
  <c r="V2238" i="34"/>
  <c r="V2439" i="34"/>
  <c r="V2248" i="34"/>
  <c r="V2362" i="34"/>
  <c r="V1500" i="34"/>
  <c r="V2068" i="34"/>
  <c r="V2150" i="34"/>
  <c r="V2673" i="34"/>
  <c r="V2769" i="34"/>
  <c r="V2829" i="34"/>
  <c r="V2459" i="34"/>
  <c r="V2910" i="34"/>
  <c r="V2551" i="34"/>
  <c r="V2613" i="34"/>
  <c r="V2621" i="34"/>
  <c r="V2635" i="34"/>
  <c r="V2657" i="34"/>
  <c r="V2394" i="34"/>
  <c r="V2402" i="34"/>
  <c r="V2408" i="34"/>
  <c r="V2433" i="34"/>
  <c r="V2457" i="34"/>
  <c r="V2906" i="34"/>
  <c r="V2932" i="34"/>
  <c r="V2956" i="34"/>
  <c r="V2497" i="34"/>
  <c r="V2447" i="34"/>
  <c r="V2282" i="34"/>
  <c r="V2290" i="34"/>
  <c r="V2232" i="34"/>
  <c r="V2268" i="34"/>
  <c r="V2276" i="34"/>
  <c r="V1087" i="34"/>
  <c r="V1163" i="34"/>
  <c r="V1370" i="34"/>
  <c r="V1942" i="34"/>
  <c r="V1661" i="34"/>
  <c r="V1671" i="34"/>
  <c r="V1723" i="34"/>
  <c r="V2126" i="34"/>
  <c r="V2208" i="34"/>
  <c r="V2775" i="34"/>
  <c r="V2465" i="34"/>
  <c r="V2320" i="34"/>
  <c r="V2374" i="34"/>
  <c r="V2559" i="34"/>
  <c r="V3360" i="34"/>
  <c r="V2244" i="34"/>
  <c r="V2270" i="34"/>
  <c r="V2026" i="34"/>
  <c r="V2567" i="34"/>
  <c r="V2742" i="34"/>
  <c r="V2822" i="34"/>
  <c r="V2830" i="34"/>
  <c r="V2911" i="34"/>
  <c r="V2552" i="34"/>
  <c r="V2614" i="34"/>
  <c r="V2622" i="34"/>
  <c r="V2636" i="34"/>
  <c r="V2395" i="34"/>
  <c r="V2403" i="34"/>
  <c r="V2426" i="34"/>
  <c r="V2409" i="34"/>
  <c r="V2434" i="34"/>
  <c r="V2608" i="34"/>
  <c r="V2933" i="34"/>
  <c r="V2957" i="34"/>
  <c r="V2498" i="34"/>
  <c r="V2949" i="34"/>
  <c r="V2331" i="34"/>
  <c r="V2448" i="34"/>
  <c r="V2283" i="34"/>
  <c r="V2291" i="34"/>
  <c r="V2269" i="34"/>
  <c r="V2277" i="34"/>
  <c r="V1158" i="34"/>
  <c r="V1164" i="34"/>
  <c r="V1371" i="34"/>
  <c r="V1467" i="34"/>
  <c r="V1662" i="34"/>
  <c r="V1672" i="34"/>
  <c r="V2119" i="34"/>
  <c r="V2127" i="34"/>
  <c r="V2209" i="34"/>
  <c r="V2688" i="34"/>
  <c r="V2824" i="34"/>
  <c r="V2458" i="34"/>
  <c r="V2550" i="34"/>
  <c r="V2620" i="34"/>
  <c r="V2638" i="34"/>
  <c r="V2407" i="34"/>
  <c r="V2905" i="34"/>
  <c r="V2125" i="34"/>
  <c r="V2211" i="34"/>
  <c r="V2680" i="34"/>
  <c r="V2684" i="34"/>
  <c r="V2818" i="34"/>
  <c r="V2965" i="34"/>
  <c r="V2464" i="34"/>
  <c r="V2476" i="34"/>
  <c r="V2484" i="34"/>
  <c r="V2423" i="34"/>
  <c r="V2319" i="34"/>
  <c r="V2373" i="34"/>
  <c r="V2381" i="34"/>
  <c r="V2444" i="34"/>
  <c r="V2683" i="34"/>
  <c r="V2725" i="34"/>
  <c r="V2968" i="34"/>
  <c r="V2467" i="34"/>
  <c r="V2479" i="34"/>
  <c r="V2487" i="34"/>
  <c r="V2513" i="34"/>
  <c r="V2631" i="34"/>
  <c r="V2366" i="34"/>
  <c r="V2322" i="34"/>
  <c r="V2376" i="34"/>
  <c r="V2471" i="34"/>
  <c r="V2946" i="34"/>
  <c r="V2553" i="34"/>
  <c r="V2561" i="34"/>
  <c r="V2222" i="34"/>
  <c r="V2236" i="34"/>
  <c r="V2455" i="34"/>
  <c r="V2344" i="34"/>
  <c r="V2250" i="34"/>
  <c r="V2258" i="34"/>
  <c r="V2296" i="34"/>
  <c r="V2308" i="34"/>
  <c r="V2356" i="34"/>
  <c r="V2364" i="34"/>
  <c r="V1083" i="34"/>
  <c r="V1231" i="34"/>
  <c r="V1994" i="34"/>
  <c r="V2066" i="34"/>
  <c r="V2156" i="34"/>
  <c r="V2569" i="34"/>
  <c r="V2966" i="34"/>
  <c r="V2489" i="34"/>
  <c r="V2443" i="34"/>
  <c r="V2324" i="34"/>
  <c r="V2378" i="34"/>
  <c r="V2944" i="34"/>
  <c r="V2509" i="34"/>
  <c r="V2563" i="34"/>
  <c r="V2334" i="34"/>
  <c r="V2453" i="34"/>
  <c r="V2338" i="34"/>
  <c r="V2392" i="34"/>
  <c r="V2252" i="34"/>
  <c r="V2358" i="34"/>
  <c r="V1398" i="34"/>
  <c r="V2064" i="34"/>
  <c r="V2667" i="34"/>
  <c r="V2675" i="34"/>
  <c r="V2687" i="34"/>
  <c r="V2743" i="34"/>
  <c r="V2823" i="34"/>
  <c r="V2831" i="34"/>
  <c r="V2912" i="34"/>
  <c r="V2615" i="34"/>
  <c r="V2623" i="34"/>
  <c r="V2637" i="34"/>
  <c r="V2396" i="34"/>
  <c r="V2427" i="34"/>
  <c r="V2410" i="34"/>
  <c r="V2435" i="34"/>
  <c r="V2609" i="34"/>
  <c r="V2758" i="34"/>
  <c r="V2750" i="34"/>
  <c r="V2826" i="34"/>
  <c r="V2907" i="34"/>
  <c r="V2548" i="34"/>
  <c r="V2618" i="34"/>
  <c r="V2626" i="34"/>
  <c r="V2399" i="34"/>
  <c r="V2430" i="34"/>
  <c r="V2271" i="34"/>
  <c r="V2405" i="34"/>
  <c r="V2413" i="34"/>
  <c r="V2438" i="34"/>
  <c r="V2897" i="34"/>
  <c r="V2903" i="34"/>
  <c r="V2929" i="34"/>
  <c r="V2937" i="34"/>
  <c r="V2953" i="34"/>
  <c r="V2961" i="34"/>
  <c r="V2494" i="34"/>
  <c r="V2502" i="34"/>
  <c r="V2259" i="34"/>
  <c r="V2287" i="34"/>
  <c r="V2421" i="34"/>
  <c r="V2265" i="34"/>
  <c r="V2273" i="34"/>
  <c r="V1574" i="34"/>
  <c r="V1720" i="34"/>
  <c r="V2123" i="34"/>
  <c r="V2175" i="34"/>
  <c r="V2205" i="34"/>
  <c r="V2672" i="34"/>
  <c r="V2401" i="34"/>
  <c r="V2436" i="34"/>
  <c r="V2959" i="34"/>
  <c r="V2500" i="34"/>
  <c r="V2231" i="34"/>
  <c r="V2275" i="34"/>
  <c r="V1670" i="34"/>
  <c r="V2203" i="34"/>
  <c r="V2568" i="34"/>
  <c r="V2726" i="34"/>
  <c r="V2969" i="34"/>
  <c r="V2468" i="34"/>
  <c r="V2480" i="34"/>
  <c r="V2488" i="34"/>
  <c r="V2514" i="34"/>
  <c r="V2367" i="34"/>
  <c r="V2442" i="34"/>
  <c r="V2315" i="34"/>
  <c r="V2323" i="34"/>
  <c r="V2369" i="34"/>
  <c r="V2377" i="34"/>
  <c r="V2472" i="34"/>
  <c r="V2817" i="34"/>
  <c r="V2964" i="34"/>
  <c r="V2463" i="34"/>
  <c r="V2475" i="34"/>
  <c r="V2483" i="34"/>
  <c r="V2318" i="34"/>
  <c r="V2326" i="34"/>
  <c r="V2372" i="34"/>
  <c r="V2380" i="34"/>
  <c r="V2745" i="34"/>
  <c r="V2557" i="34"/>
  <c r="V2228" i="34"/>
  <c r="V2336" i="34"/>
  <c r="V2340" i="34"/>
  <c r="V2348" i="34"/>
  <c r="V2441" i="34"/>
  <c r="V2242" i="34"/>
  <c r="V2260" i="34"/>
  <c r="V2246" i="34"/>
  <c r="V2254" i="34"/>
  <c r="V2300" i="34"/>
  <c r="V2354" i="34"/>
  <c r="V2304" i="34"/>
  <c r="V2312" i="34"/>
  <c r="V2360" i="34"/>
  <c r="V1075" i="34"/>
  <c r="V1235" i="34"/>
  <c r="V1396" i="34"/>
  <c r="V1484" i="34"/>
  <c r="V1727" i="34"/>
  <c r="V1990" i="34"/>
  <c r="V2062" i="34"/>
  <c r="V2152" i="34"/>
  <c r="V2685" i="34"/>
  <c r="V2473" i="34"/>
  <c r="V2230" i="34"/>
  <c r="V2256" i="34"/>
  <c r="V2294" i="34"/>
  <c r="V2306" i="34"/>
  <c r="V1085" i="34"/>
  <c r="V1233" i="34"/>
  <c r="V2154" i="34"/>
  <c r="V2659" i="34"/>
  <c r="V2671" i="34"/>
  <c r="V2759" i="34"/>
  <c r="V2827" i="34"/>
  <c r="V2908" i="34"/>
  <c r="V2549" i="34"/>
  <c r="V2611" i="34"/>
  <c r="V2619" i="34"/>
  <c r="V2627" i="34"/>
  <c r="V2633" i="34"/>
  <c r="V2400" i="34"/>
  <c r="V2406" i="34"/>
  <c r="V2431" i="34"/>
  <c r="V2898" i="34"/>
  <c r="V2904" i="34"/>
  <c r="V2930" i="34"/>
  <c r="V2954" i="34"/>
  <c r="V2962" i="34"/>
  <c r="V2495" i="34"/>
  <c r="V2280" i="34"/>
  <c r="V2288" i="34"/>
  <c r="V2384" i="34"/>
  <c r="V2422" i="34"/>
  <c r="V2266" i="34"/>
  <c r="V2274" i="34"/>
  <c r="V1659" i="34"/>
  <c r="V1721" i="34"/>
  <c r="V2124" i="34"/>
  <c r="V2206" i="34"/>
  <c r="V1961" i="34"/>
  <c r="V1969" i="34"/>
  <c r="V1963" i="34"/>
  <c r="V1971" i="34"/>
  <c r="V2943" i="34"/>
  <c r="V2558" i="34"/>
  <c r="V2229" i="34"/>
  <c r="V2337" i="34"/>
  <c r="V2341" i="34"/>
  <c r="V2243" i="34"/>
  <c r="V2261" i="34"/>
  <c r="V2247" i="34"/>
  <c r="V2255" i="34"/>
  <c r="V2293" i="34"/>
  <c r="V2301" i="34"/>
  <c r="V2305" i="34"/>
  <c r="V2313" i="34"/>
  <c r="V2361" i="34"/>
  <c r="V1076" i="34"/>
  <c r="V1397" i="34"/>
  <c r="V1991" i="34"/>
  <c r="V2063" i="34"/>
  <c r="V2153" i="34"/>
  <c r="V1962" i="34"/>
  <c r="V1970" i="34"/>
  <c r="V1968" i="34"/>
  <c r="V2934" i="34"/>
  <c r="V2958" i="34"/>
  <c r="V2499" i="34"/>
  <c r="V2507" i="34"/>
  <c r="V2449" i="34"/>
  <c r="V2284" i="34"/>
  <c r="V2292" i="34"/>
  <c r="V2226" i="34"/>
  <c r="V2262" i="34"/>
  <c r="V2278" i="34"/>
  <c r="V1159" i="34"/>
  <c r="V1165" i="34"/>
  <c r="V1241" i="34"/>
  <c r="V1372" i="34"/>
  <c r="V1468" i="34"/>
  <c r="V1663" i="34"/>
  <c r="V1673" i="34"/>
  <c r="V2120" i="34"/>
  <c r="V2172" i="34"/>
  <c r="V2202" i="34"/>
  <c r="V2210" i="34"/>
  <c r="V1965" i="34"/>
  <c r="V1973" i="34"/>
  <c r="V1967" i="34"/>
  <c r="V2947" i="34"/>
  <c r="V2518" i="34"/>
  <c r="V2554" i="34"/>
  <c r="V2562" i="34"/>
  <c r="V2223" i="34"/>
  <c r="V2951" i="34"/>
  <c r="V2237" i="34"/>
  <c r="V2327" i="34"/>
  <c r="V2333" i="34"/>
  <c r="V2345" i="34"/>
  <c r="V2251" i="34"/>
  <c r="V2297" i="34"/>
  <c r="V2233" i="34"/>
  <c r="V2309" i="34"/>
  <c r="V2357" i="34"/>
  <c r="V2365" i="34"/>
  <c r="V1084" i="34"/>
  <c r="V1232" i="34"/>
  <c r="V1499" i="34"/>
  <c r="V1754" i="34"/>
  <c r="V1995" i="34"/>
  <c r="V2067" i="34"/>
  <c r="V2149" i="34"/>
  <c r="V1966" i="34"/>
  <c r="V1964" i="34"/>
  <c r="V1972" i="34"/>
  <c r="V3339" i="34"/>
  <c r="V3347" i="34"/>
  <c r="V3355" i="34"/>
  <c r="V2977" i="34"/>
  <c r="V3326" i="34"/>
  <c r="V2941" i="34"/>
  <c r="V2883" i="34"/>
  <c r="V2195" i="34"/>
  <c r="V1022" i="34"/>
  <c r="V2169" i="34"/>
  <c r="V2059" i="34"/>
  <c r="V1341" i="34"/>
  <c r="V1190" i="34"/>
  <c r="V1198" i="34"/>
  <c r="V1000" i="34"/>
  <c r="V2073" i="34"/>
  <c r="V2015" i="34"/>
  <c r="V1744" i="34"/>
  <c r="V1602" i="34"/>
  <c r="V1098" i="34"/>
  <c r="V922" i="34"/>
  <c r="V1110" i="34"/>
  <c r="V1208" i="34"/>
  <c r="V640" i="34"/>
  <c r="V654" i="34"/>
  <c r="V662" i="34"/>
  <c r="V676" i="34"/>
  <c r="V684" i="34"/>
  <c r="V692" i="34"/>
  <c r="V708" i="34"/>
  <c r="V720" i="34"/>
  <c r="V750" i="34"/>
  <c r="V2927" i="34"/>
  <c r="V3323" i="34"/>
  <c r="V3335" i="34"/>
  <c r="V2876" i="34"/>
  <c r="V2810" i="34"/>
  <c r="V898" i="34"/>
  <c r="V2710" i="34"/>
  <c r="V2145" i="34"/>
  <c r="V2025" i="34"/>
  <c r="V1652" i="34"/>
  <c r="V1379" i="34"/>
  <c r="V1072" i="34"/>
  <c r="V1068" i="34"/>
  <c r="V2043" i="34"/>
  <c r="V2005" i="34"/>
  <c r="V1594" i="34"/>
  <c r="V1560" i="34"/>
  <c r="V1542" i="34"/>
  <c r="V1365" i="34"/>
  <c r="V1138" i="34"/>
  <c r="V1064" i="34"/>
  <c r="V990" i="34"/>
  <c r="V944" i="34"/>
  <c r="V1142" i="34"/>
  <c r="V862" i="34"/>
  <c r="V914" i="34"/>
  <c r="V1010" i="34"/>
  <c r="V75" i="34"/>
  <c r="V156" i="34"/>
  <c r="V170" i="34"/>
  <c r="V694" i="34"/>
  <c r="V736" i="34"/>
  <c r="V3341" i="34"/>
  <c r="V3349" i="34"/>
  <c r="V3357" i="34"/>
  <c r="V2456" i="34"/>
  <c r="V2979" i="34"/>
  <c r="V2877" i="34"/>
  <c r="V2885" i="34"/>
  <c r="V2644" i="34"/>
  <c r="V2197" i="34"/>
  <c r="V2171" i="34"/>
  <c r="V2057" i="34"/>
  <c r="V2095" i="34"/>
  <c r="V1700" i="34"/>
  <c r="V1952" i="34"/>
  <c r="V1156" i="34"/>
  <c r="V1196" i="34"/>
  <c r="V998" i="34"/>
  <c r="V2075" i="34"/>
  <c r="V2017" i="34"/>
  <c r="V2009" i="34"/>
  <c r="V1746" i="34"/>
  <c r="V1604" i="34"/>
  <c r="V1260" i="34"/>
  <c r="V924" i="34"/>
  <c r="V1052" i="34"/>
  <c r="V1108" i="34"/>
  <c r="V1116" i="34"/>
  <c r="V354" i="34"/>
  <c r="V364" i="34"/>
  <c r="V906" i="34"/>
  <c r="V638" i="34"/>
  <c r="V682" i="34"/>
  <c r="V690" i="34"/>
  <c r="V706" i="34"/>
  <c r="V718" i="34"/>
  <c r="V744" i="34"/>
  <c r="V3329" i="34"/>
  <c r="V3337" i="34"/>
  <c r="V2874" i="34"/>
  <c r="V2470" i="34"/>
  <c r="V2756" i="34"/>
  <c r="V2891" i="34"/>
  <c r="V3359" i="34"/>
  <c r="V3330" i="34"/>
  <c r="V2896" i="34"/>
  <c r="V2875" i="34"/>
  <c r="V2757" i="34"/>
  <c r="V2892" i="34"/>
  <c r="V1189" i="34"/>
  <c r="V2713" i="34"/>
  <c r="V2114" i="34"/>
  <c r="V2148" i="34"/>
  <c r="V2192" i="34"/>
  <c r="V1988" i="34"/>
  <c r="V1651" i="34"/>
  <c r="V1378" i="34"/>
  <c r="V1348" i="34"/>
  <c r="V1071" i="34"/>
  <c r="V2140" i="34"/>
  <c r="V1067" i="34"/>
  <c r="V2138" i="34"/>
  <c r="V2092" i="34"/>
  <c r="V2040" i="34"/>
  <c r="V2002" i="34"/>
  <c r="V1591" i="34"/>
  <c r="V1557" i="34"/>
  <c r="V1547" i="34"/>
  <c r="V1938" i="34"/>
  <c r="V1135" i="34"/>
  <c r="V1061" i="34"/>
  <c r="V995" i="34"/>
  <c r="V979" i="34"/>
  <c r="V941" i="34"/>
  <c r="V1141" i="34"/>
  <c r="V913" i="34"/>
  <c r="V69" i="34"/>
  <c r="V74" i="34"/>
  <c r="V169" i="34"/>
  <c r="V735" i="34"/>
  <c r="V3340" i="34"/>
  <c r="V3348" i="34"/>
  <c r="V3356" i="34"/>
  <c r="V2978" i="34"/>
  <c r="V3327" i="34"/>
  <c r="V2942" i="34"/>
  <c r="V2884" i="34"/>
  <c r="V2643" i="34"/>
  <c r="V2461" i="34"/>
  <c r="V2196" i="34"/>
  <c r="V2641" i="34"/>
  <c r="V2170" i="34"/>
  <c r="V2056" i="34"/>
  <c r="V1514" i="34"/>
  <c r="V1699" i="34"/>
  <c r="V1951" i="34"/>
  <c r="V1940" i="34"/>
  <c r="V1149" i="34"/>
  <c r="V1155" i="34"/>
  <c r="V1195" i="34"/>
  <c r="V997" i="34"/>
  <c r="V2080" i="34"/>
  <c r="V2014" i="34"/>
  <c r="V1743" i="34"/>
  <c r="V1601" i="34"/>
  <c r="V1097" i="34"/>
  <c r="V929" i="34"/>
  <c r="V921" i="34"/>
  <c r="V1081" i="34"/>
  <c r="V1115" i="34"/>
  <c r="V353" i="34"/>
  <c r="V363" i="34"/>
  <c r="V1207" i="34"/>
  <c r="V71" i="34"/>
  <c r="V637" i="34"/>
  <c r="V659" i="34"/>
  <c r="V681" i="34"/>
  <c r="V689" i="34"/>
  <c r="V717" i="34"/>
  <c r="V743" i="34"/>
  <c r="V2924" i="34"/>
  <c r="V3332" i="34"/>
  <c r="V2894" i="34"/>
  <c r="V2691" i="34"/>
  <c r="V2116" i="34"/>
  <c r="V2142" i="34"/>
  <c r="V2194" i="34"/>
  <c r="V1573" i="34"/>
  <c r="V1657" i="34"/>
  <c r="V1346" i="34"/>
  <c r="V1368" i="34"/>
  <c r="V1941" i="34"/>
  <c r="V1069" i="34"/>
  <c r="V903" i="34"/>
  <c r="V2094" i="34"/>
  <c r="V2042" i="34"/>
  <c r="V2004" i="34"/>
  <c r="V1593" i="34"/>
  <c r="V1559" i="34"/>
  <c r="V1553" i="34"/>
  <c r="V1541" i="34"/>
  <c r="V1364" i="34"/>
  <c r="V1137" i="34"/>
  <c r="V1096" i="34"/>
  <c r="V1063" i="34"/>
  <c r="V989" i="34"/>
  <c r="V943" i="34"/>
  <c r="V1151" i="34"/>
  <c r="V1147" i="34"/>
  <c r="V1057" i="34"/>
  <c r="V67" i="34"/>
  <c r="V652" i="34"/>
  <c r="V660" i="34"/>
  <c r="V733" i="34"/>
  <c r="V3342" i="34"/>
  <c r="V3350" i="34"/>
  <c r="V3358" i="34"/>
  <c r="V2240" i="34"/>
  <c r="V2980" i="34"/>
  <c r="V2878" i="34"/>
  <c r="V2886" i="34"/>
  <c r="V2645" i="34"/>
  <c r="V2198" i="34"/>
  <c r="V1017" i="34"/>
  <c r="V3343" i="34"/>
  <c r="V3351" i="34"/>
  <c r="V2225" i="34"/>
  <c r="V2981" i="34"/>
  <c r="V2887" i="34"/>
  <c r="V2646" i="34"/>
  <c r="V2806" i="34"/>
  <c r="V2199" i="34"/>
  <c r="V1018" i="34"/>
  <c r="V2055" i="34"/>
  <c r="V2111" i="34"/>
  <c r="V1698" i="34"/>
  <c r="V1950" i="34"/>
  <c r="V1288" i="34"/>
  <c r="V1939" i="34"/>
  <c r="V1148" i="34"/>
  <c r="V1154" i="34"/>
  <c r="V1194" i="34"/>
  <c r="V2077" i="34"/>
  <c r="V2011" i="34"/>
  <c r="V1748" i="34"/>
  <c r="V1377" i="34"/>
  <c r="V1094" i="34"/>
  <c r="V926" i="34"/>
  <c r="V918" i="34"/>
  <c r="V1080" i="34"/>
  <c r="V1114" i="34"/>
  <c r="V1140" i="34"/>
  <c r="V352" i="34"/>
  <c r="V1206" i="34"/>
  <c r="V606" i="34"/>
  <c r="V636" i="34"/>
  <c r="V658" i="34"/>
  <c r="V680" i="34"/>
  <c r="V688" i="34"/>
  <c r="V712" i="34"/>
  <c r="V742" i="34"/>
  <c r="V2923" i="34"/>
  <c r="V3331" i="34"/>
  <c r="V2893" i="34"/>
  <c r="V2690" i="34"/>
  <c r="V2115" i="34"/>
  <c r="V2141" i="34"/>
  <c r="V2193" i="34"/>
  <c r="V1656" i="34"/>
  <c r="V1686" i="34"/>
  <c r="V1367" i="34"/>
  <c r="V1483" i="34"/>
  <c r="V2137" i="34"/>
  <c r="V2091" i="34"/>
  <c r="V2039" i="34"/>
  <c r="V2001" i="34"/>
  <c r="V1590" i="34"/>
  <c r="V1556" i="34"/>
  <c r="V1546" i="34"/>
  <c r="V1134" i="34"/>
  <c r="V1060" i="34"/>
  <c r="V994" i="34"/>
  <c r="V940" i="34"/>
  <c r="V904" i="34"/>
  <c r="V1150" i="34"/>
  <c r="V1146" i="34"/>
  <c r="V1014" i="34"/>
  <c r="V1056" i="34"/>
  <c r="V66" i="34"/>
  <c r="V79" i="34"/>
  <c r="V698" i="34"/>
  <c r="V732" i="34"/>
  <c r="V3345" i="34"/>
  <c r="V3353" i="34"/>
  <c r="V2939" i="34"/>
  <c r="V2889" i="34"/>
  <c r="V2804" i="34"/>
  <c r="V2770" i="34"/>
  <c r="V2808" i="34"/>
  <c r="V2786" i="34"/>
  <c r="V2201" i="34"/>
  <c r="V1020" i="34"/>
  <c r="V2167" i="34"/>
  <c r="V2053" i="34"/>
  <c r="V1696" i="34"/>
  <c r="V1948" i="34"/>
  <c r="V1228" i="34"/>
  <c r="V1152" i="34"/>
  <c r="V1192" i="34"/>
  <c r="V1200" i="34"/>
  <c r="V2079" i="34"/>
  <c r="V2013" i="34"/>
  <c r="V1742" i="34"/>
  <c r="V1600" i="34"/>
  <c r="V928" i="34"/>
  <c r="V920" i="34"/>
  <c r="V1112" i="34"/>
  <c r="V1210" i="34"/>
  <c r="V72" i="34"/>
  <c r="V604" i="34"/>
  <c r="V630" i="34"/>
  <c r="V642" i="34"/>
  <c r="V678" i="34"/>
  <c r="V686" i="34"/>
  <c r="V710" i="34"/>
  <c r="V752" i="34"/>
  <c r="V2925" i="34"/>
  <c r="V3333" i="34"/>
  <c r="V2760" i="34"/>
  <c r="V2895" i="34"/>
  <c r="V2926" i="34"/>
  <c r="V3334" i="34"/>
  <c r="V2879" i="34"/>
  <c r="V2922" i="34"/>
  <c r="V2809" i="34"/>
  <c r="V2761" i="34"/>
  <c r="V2693" i="34"/>
  <c r="V2118" i="34"/>
  <c r="V2144" i="34"/>
  <c r="V1955" i="34"/>
  <c r="V1655" i="34"/>
  <c r="V1685" i="34"/>
  <c r="V1753" i="34"/>
  <c r="V1482" i="34"/>
  <c r="V2088" i="34"/>
  <c r="V2036" i="34"/>
  <c r="V2006" i="34"/>
  <c r="V1621" i="34"/>
  <c r="V1595" i="34"/>
  <c r="V1561" i="34"/>
  <c r="V1543" i="34"/>
  <c r="V1340" i="34"/>
  <c r="V1131" i="34"/>
  <c r="V991" i="34"/>
  <c r="V937" i="34"/>
  <c r="V1145" i="34"/>
  <c r="V359" i="34"/>
  <c r="V466" i="34"/>
  <c r="V987" i="34"/>
  <c r="V1013" i="34"/>
  <c r="V1055" i="34"/>
  <c r="V65" i="34"/>
  <c r="V78" i="34"/>
  <c r="V84" i="34"/>
  <c r="V650" i="34"/>
  <c r="V697" i="34"/>
  <c r="V3344" i="34"/>
  <c r="V3352" i="34"/>
  <c r="V2224" i="34"/>
  <c r="V2938" i="34"/>
  <c r="V2880" i="34"/>
  <c r="V2888" i="34"/>
  <c r="V2803" i="34"/>
  <c r="V2807" i="34"/>
  <c r="V2785" i="34"/>
  <c r="V2200" i="34"/>
  <c r="V1019" i="34"/>
  <c r="V2166" i="34"/>
  <c r="V2060" i="34"/>
  <c r="V1947" i="34"/>
  <c r="V1227" i="34"/>
  <c r="V1342" i="34"/>
  <c r="V1191" i="34"/>
  <c r="V1199" i="34"/>
  <c r="V1001" i="34"/>
  <c r="V2076" i="34"/>
  <c r="V2018" i="34"/>
  <c r="V2010" i="34"/>
  <c r="V1747" i="34"/>
  <c r="V1605" i="34"/>
  <c r="V1261" i="34"/>
  <c r="V1101" i="34"/>
  <c r="V925" i="34"/>
  <c r="V1111" i="34"/>
  <c r="V1209" i="34"/>
  <c r="V629" i="34"/>
  <c r="V641" i="34"/>
  <c r="V651" i="34"/>
  <c r="V655" i="34"/>
  <c r="V663" i="34"/>
  <c r="V677" i="34"/>
  <c r="V685" i="34"/>
  <c r="V709" i="34"/>
  <c r="V751" i="34"/>
  <c r="V2928" i="34"/>
  <c r="V3324" i="34"/>
  <c r="V3328" i="34"/>
  <c r="V3336" i="34"/>
  <c r="V2873" i="34"/>
  <c r="V2881" i="34"/>
  <c r="V2890" i="34"/>
  <c r="V899" i="34"/>
  <c r="V2711" i="34"/>
  <c r="V2112" i="34"/>
  <c r="V2146" i="34"/>
  <c r="V1653" i="34"/>
  <c r="V1380" i="34"/>
  <c r="V1073" i="34"/>
  <c r="V1015" i="34"/>
  <c r="V2090" i="34"/>
  <c r="V2038" i="34"/>
  <c r="V2000" i="34"/>
  <c r="V1563" i="34"/>
  <c r="V1545" i="34"/>
  <c r="V1133" i="34"/>
  <c r="V1100" i="34"/>
  <c r="V1059" i="34"/>
  <c r="V993" i="34"/>
  <c r="V939" i="34"/>
  <c r="V1143" i="34"/>
  <c r="V955" i="34"/>
  <c r="V985" i="34"/>
  <c r="V1011" i="34"/>
  <c r="V1053" i="34"/>
  <c r="V76" i="34"/>
  <c r="V82" i="34"/>
  <c r="V157" i="34"/>
  <c r="V656" i="34"/>
  <c r="V664" i="34"/>
  <c r="V695" i="34"/>
  <c r="V737" i="34"/>
  <c r="V3338" i="34"/>
  <c r="V3346" i="34"/>
  <c r="V3354" i="34"/>
  <c r="V2976" i="34"/>
  <c r="V3325" i="34"/>
  <c r="V2940" i="34"/>
  <c r="V2882" i="34"/>
  <c r="V2805" i="34"/>
  <c r="V2771" i="34"/>
  <c r="V897" i="34"/>
  <c r="V1021" i="34"/>
  <c r="V2712" i="34"/>
  <c r="V2113" i="34"/>
  <c r="V2147" i="34"/>
  <c r="V2191" i="34"/>
  <c r="V1654" i="34"/>
  <c r="V1230" i="34"/>
  <c r="V1481" i="34"/>
  <c r="V1074" i="34"/>
  <c r="V1016" i="34"/>
  <c r="V2139" i="34"/>
  <c r="V2093" i="34"/>
  <c r="V2041" i="34"/>
  <c r="V2003" i="34"/>
  <c r="V1592" i="34"/>
  <c r="V1558" i="34"/>
  <c r="V1552" i="34"/>
  <c r="V1363" i="34"/>
  <c r="V1136" i="34"/>
  <c r="V1062" i="34"/>
  <c r="V996" i="34"/>
  <c r="V988" i="34"/>
  <c r="V942" i="34"/>
  <c r="V1128" i="34"/>
  <c r="V1144" i="34"/>
  <c r="V1162" i="34"/>
  <c r="V358" i="34"/>
  <c r="V956" i="34"/>
  <c r="V986" i="34"/>
  <c r="V1012" i="34"/>
  <c r="V1054" i="34"/>
  <c r="V77" i="34"/>
  <c r="V83" i="34"/>
  <c r="V158" i="34"/>
  <c r="V649" i="34"/>
  <c r="V696" i="34"/>
  <c r="V738" i="34"/>
  <c r="V1983" i="34"/>
  <c r="V1981" i="34"/>
  <c r="V1960" i="34"/>
  <c r="V1958" i="34"/>
  <c r="V1956" i="34"/>
  <c r="V2058" i="34"/>
  <c r="V1649" i="34"/>
  <c r="V1701" i="34"/>
  <c r="V1953" i="34"/>
  <c r="V1157" i="34"/>
  <c r="V1197" i="34"/>
  <c r="V999" i="34"/>
  <c r="V2078" i="34"/>
  <c r="V2012" i="34"/>
  <c r="V1095" i="34"/>
  <c r="V927" i="34"/>
  <c r="V919" i="34"/>
  <c r="V1109" i="34"/>
  <c r="V907" i="34"/>
  <c r="V639" i="34"/>
  <c r="V653" i="34"/>
  <c r="V661" i="34"/>
  <c r="V683" i="34"/>
  <c r="V691" i="34"/>
  <c r="V707" i="34"/>
  <c r="V719" i="34"/>
  <c r="V749" i="34"/>
  <c r="V893" i="34"/>
  <c r="V1984" i="34"/>
  <c r="V1982" i="34"/>
  <c r="V1959" i="34"/>
  <c r="V2692" i="34"/>
  <c r="V2117" i="34"/>
  <c r="V2143" i="34"/>
  <c r="V1954" i="34"/>
  <c r="V1658" i="34"/>
  <c r="V1347" i="34"/>
  <c r="V1369" i="34"/>
  <c r="V1070" i="34"/>
  <c r="V2089" i="34"/>
  <c r="V2037" i="34"/>
  <c r="V1999" i="34"/>
  <c r="V1622" i="34"/>
  <c r="V1596" i="34"/>
  <c r="V1562" i="34"/>
  <c r="V1544" i="34"/>
  <c r="V1132" i="34"/>
  <c r="V992" i="34"/>
  <c r="V938" i="34"/>
  <c r="V447" i="34"/>
  <c r="V1058" i="34"/>
  <c r="V68" i="34"/>
  <c r="V73" i="34"/>
  <c r="V734" i="34"/>
  <c r="V1985" i="34"/>
  <c r="V2168" i="34"/>
  <c r="V2054" i="34"/>
  <c r="V2110" i="34"/>
  <c r="V1697" i="34"/>
  <c r="V1949" i="34"/>
  <c r="V1287" i="34"/>
  <c r="V1153" i="34"/>
  <c r="V1193" i="34"/>
  <c r="V1201" i="34"/>
  <c r="V2074" i="34"/>
  <c r="V2016" i="34"/>
  <c r="V2008" i="34"/>
  <c r="V1745" i="34"/>
  <c r="V1603" i="34"/>
  <c r="V1535" i="34"/>
  <c r="V1259" i="34"/>
  <c r="V1099" i="34"/>
  <c r="V923" i="34"/>
  <c r="V1079" i="34"/>
  <c r="V1113" i="34"/>
  <c r="V1161" i="34"/>
  <c r="V1211" i="34"/>
  <c r="V605" i="34"/>
  <c r="V635" i="34"/>
  <c r="V657" i="34"/>
  <c r="V665" i="34"/>
  <c r="V679" i="34"/>
  <c r="V687" i="34"/>
  <c r="V711" i="34"/>
  <c r="V1980" i="34"/>
  <c r="V1957" i="34"/>
  <c r="V481" i="34"/>
  <c r="V165" i="34"/>
  <c r="V890" i="34"/>
  <c r="V147" i="34"/>
  <c r="V762" i="34"/>
  <c r="V93" i="34"/>
  <c r="V105" i="34"/>
  <c r="V788" i="34"/>
  <c r="V110" i="34"/>
  <c r="V771" i="34"/>
  <c r="V431" i="34"/>
  <c r="V64" i="34"/>
  <c r="V450" i="34"/>
  <c r="V243" i="34"/>
  <c r="V235" i="34"/>
  <c r="V350" i="34"/>
  <c r="V319" i="34"/>
  <c r="V669" i="34"/>
  <c r="V332" i="34"/>
  <c r="V207" i="34"/>
  <c r="V401" i="34"/>
  <c r="V250" i="34"/>
  <c r="V284" i="34"/>
  <c r="V2071" i="34"/>
  <c r="V2081" i="34"/>
  <c r="V2219" i="34"/>
  <c r="V1564" i="34"/>
  <c r="V842" i="34"/>
  <c r="V850" i="34"/>
  <c r="V858" i="34"/>
  <c r="V870" i="34"/>
  <c r="V1170" i="34"/>
  <c r="V2027" i="34"/>
  <c r="V107" i="34"/>
  <c r="V134" i="34"/>
  <c r="V758" i="34"/>
  <c r="V770" i="34"/>
  <c r="V453" i="34"/>
  <c r="V495" i="34"/>
  <c r="V549" i="34"/>
  <c r="V87" i="34"/>
  <c r="V730" i="34"/>
  <c r="V879" i="34"/>
  <c r="V327" i="34"/>
  <c r="V378" i="34"/>
  <c r="V396" i="34"/>
  <c r="V283" i="34"/>
  <c r="V826" i="34"/>
  <c r="V834" i="34"/>
  <c r="V840" i="34"/>
  <c r="V1997" i="34"/>
  <c r="V934" i="34"/>
  <c r="V964" i="34"/>
  <c r="V1540" i="34"/>
  <c r="V1730" i="34"/>
  <c r="V99" i="34"/>
  <c r="V113" i="34"/>
  <c r="V764" i="34"/>
  <c r="V531" i="34"/>
  <c r="V198" i="34"/>
  <c r="V790" i="34"/>
  <c r="V796" i="34"/>
  <c r="V372" i="34"/>
  <c r="V467" i="34"/>
  <c r="V140" i="34"/>
  <c r="V273" i="34"/>
  <c r="V344" i="34"/>
  <c r="V844" i="34"/>
  <c r="V852" i="34"/>
  <c r="V864" i="34"/>
  <c r="V872" i="34"/>
  <c r="V2213" i="34"/>
  <c r="V1554" i="34"/>
  <c r="V1584" i="34"/>
  <c r="V2029" i="34"/>
  <c r="V109" i="34"/>
  <c r="V160" i="34"/>
  <c r="V760" i="34"/>
  <c r="V455" i="34"/>
  <c r="V89" i="34"/>
  <c r="V810" i="34"/>
  <c r="V814" i="34"/>
  <c r="V976" i="34"/>
  <c r="V485" i="34"/>
  <c r="V398" i="34"/>
  <c r="V820" i="34"/>
  <c r="V828" i="34"/>
  <c r="V836" i="34"/>
  <c r="V838" i="34"/>
  <c r="V894" i="34"/>
  <c r="V900" i="34"/>
  <c r="V936" i="34"/>
  <c r="V966" i="34"/>
  <c r="V101" i="34"/>
  <c r="V115" i="34"/>
  <c r="V125" i="34"/>
  <c r="V527" i="34"/>
  <c r="V792" i="34"/>
  <c r="V756" i="34"/>
  <c r="V142" i="34"/>
  <c r="V226" i="34"/>
  <c r="V267" i="34"/>
  <c r="V342" i="34"/>
  <c r="V251" i="34"/>
  <c r="V614" i="34"/>
  <c r="V821" i="34"/>
  <c r="V829" i="34"/>
  <c r="V895" i="34"/>
  <c r="V1516" i="34"/>
  <c r="V901" i="34"/>
  <c r="V1575" i="34"/>
  <c r="V1625" i="34"/>
  <c r="V595" i="34"/>
  <c r="V94" i="34"/>
  <c r="V102" i="34"/>
  <c r="V116" i="34"/>
  <c r="V126" i="34"/>
  <c r="V171" i="34"/>
  <c r="V785" i="34"/>
  <c r="V528" i="34"/>
  <c r="V793" i="34"/>
  <c r="V909" i="34"/>
  <c r="V959" i="34"/>
  <c r="V135" i="34"/>
  <c r="V143" i="34"/>
  <c r="V180" i="34"/>
  <c r="V268" i="34"/>
  <c r="V367" i="34"/>
  <c r="V339" i="34"/>
  <c r="V643" i="34"/>
  <c r="V645" i="34"/>
  <c r="V2072" i="34"/>
  <c r="V2082" i="34"/>
  <c r="V2220" i="34"/>
  <c r="V843" i="34"/>
  <c r="V851" i="34"/>
  <c r="V859" i="34"/>
  <c r="V871" i="34"/>
  <c r="V1088" i="34"/>
  <c r="V1583" i="34"/>
  <c r="V2028" i="34"/>
  <c r="V2034" i="34"/>
  <c r="V108" i="34"/>
  <c r="V159" i="34"/>
  <c r="V759" i="34"/>
  <c r="V454" i="34"/>
  <c r="V88" i="34"/>
  <c r="V809" i="34"/>
  <c r="V731" i="34"/>
  <c r="V975" i="34"/>
  <c r="V328" i="34"/>
  <c r="V397" i="34"/>
  <c r="V336" i="34"/>
  <c r="V666" i="34"/>
  <c r="V646" i="34"/>
  <c r="V823" i="34"/>
  <c r="V831" i="34"/>
  <c r="V931" i="34"/>
  <c r="V1537" i="34"/>
  <c r="V2020" i="34"/>
  <c r="V96" i="34"/>
  <c r="V104" i="34"/>
  <c r="V122" i="34"/>
  <c r="V773" i="34"/>
  <c r="V252" i="34"/>
  <c r="V741" i="34"/>
  <c r="V781" i="34"/>
  <c r="V387" i="34"/>
  <c r="V137" i="34"/>
  <c r="V176" i="34"/>
  <c r="V182" i="34"/>
  <c r="V225" i="34"/>
  <c r="V270" i="34"/>
  <c r="V369" i="34"/>
  <c r="V429" i="34"/>
  <c r="V306" i="34"/>
  <c r="V349" i="34"/>
  <c r="V647" i="34"/>
  <c r="V699" i="34"/>
  <c r="V845" i="34"/>
  <c r="V853" i="34"/>
  <c r="V865" i="34"/>
  <c r="V1996" i="34"/>
  <c r="V1555" i="34"/>
  <c r="V1749" i="34"/>
  <c r="V2030" i="34"/>
  <c r="V129" i="34"/>
  <c r="V161" i="34"/>
  <c r="V761" i="34"/>
  <c r="V510" i="34"/>
  <c r="V90" i="34"/>
  <c r="V811" i="34"/>
  <c r="V745" i="34"/>
  <c r="V905" i="34"/>
  <c r="V977" i="34"/>
  <c r="V486" i="34"/>
  <c r="V230" i="34"/>
  <c r="V300" i="34"/>
  <c r="V399" i="34"/>
  <c r="V322" i="34"/>
  <c r="V338" i="34"/>
  <c r="V609" i="34"/>
  <c r="V648" i="34"/>
  <c r="V846" i="34"/>
  <c r="V854" i="34"/>
  <c r="V866" i="34"/>
  <c r="V2217" i="34"/>
  <c r="V2007" i="34"/>
  <c r="V130" i="34"/>
  <c r="V511" i="34"/>
  <c r="V812" i="34"/>
  <c r="V746" i="34"/>
  <c r="V778" i="34"/>
  <c r="V446" i="34"/>
  <c r="V184" i="34"/>
  <c r="V227" i="34"/>
  <c r="V301" i="34"/>
  <c r="V307" i="34"/>
  <c r="V374" i="34"/>
  <c r="V400" i="34"/>
  <c r="V220" i="34"/>
  <c r="V610" i="34"/>
  <c r="V674" i="34"/>
  <c r="V1626" i="34"/>
  <c r="V822" i="34"/>
  <c r="V830" i="34"/>
  <c r="V896" i="34"/>
  <c r="V930" i="34"/>
  <c r="V1168" i="34"/>
  <c r="V2019" i="34"/>
  <c r="V95" i="34"/>
  <c r="V103" i="34"/>
  <c r="V121" i="34"/>
  <c r="V172" i="34"/>
  <c r="V772" i="34"/>
  <c r="V786" i="34"/>
  <c r="V558" i="34"/>
  <c r="V136" i="34"/>
  <c r="V269" i="34"/>
  <c r="V368" i="34"/>
  <c r="V428" i="34"/>
  <c r="V285" i="34"/>
  <c r="V348" i="34"/>
  <c r="V740" i="34"/>
  <c r="V2069" i="34"/>
  <c r="V2083" i="34"/>
  <c r="V2097" i="34"/>
  <c r="V2215" i="34"/>
  <c r="V848" i="34"/>
  <c r="V856" i="34"/>
  <c r="V868" i="34"/>
  <c r="V1624" i="34"/>
  <c r="V432" i="34"/>
  <c r="V91" i="34"/>
  <c r="V132" i="34"/>
  <c r="V451" i="34"/>
  <c r="V503" i="34"/>
  <c r="V525" i="34"/>
  <c r="V287" i="34"/>
  <c r="V85" i="34"/>
  <c r="V728" i="34"/>
  <c r="V916" i="34"/>
  <c r="V303" i="34"/>
  <c r="V309" i="34"/>
  <c r="V376" i="34"/>
  <c r="V394" i="34"/>
  <c r="V249" i="34"/>
  <c r="V824" i="34"/>
  <c r="V832" i="34"/>
  <c r="V932" i="34"/>
  <c r="V1531" i="34"/>
  <c r="V1538" i="34"/>
  <c r="V1728" i="34"/>
  <c r="V2021" i="34"/>
  <c r="V449" i="34"/>
  <c r="V97" i="34"/>
  <c r="V111" i="34"/>
  <c r="V774" i="34"/>
  <c r="V594" i="34"/>
  <c r="V253" i="34"/>
  <c r="V860" i="34"/>
  <c r="V782" i="34"/>
  <c r="V388" i="34"/>
  <c r="V138" i="34"/>
  <c r="V177" i="34"/>
  <c r="V271" i="34"/>
  <c r="V370" i="34"/>
  <c r="V430" i="34"/>
  <c r="V704" i="34"/>
  <c r="V700" i="34"/>
  <c r="V825" i="34"/>
  <c r="V833" i="34"/>
  <c r="V839" i="34"/>
  <c r="V933" i="34"/>
  <c r="V963" i="34"/>
  <c r="V1025" i="34"/>
  <c r="V1532" i="34"/>
  <c r="V1539" i="34"/>
  <c r="V1729" i="34"/>
  <c r="V2032" i="34"/>
  <c r="V98" i="34"/>
  <c r="V112" i="34"/>
  <c r="V763" i="34"/>
  <c r="V197" i="34"/>
  <c r="V254" i="34"/>
  <c r="V789" i="34"/>
  <c r="V795" i="34"/>
  <c r="V371" i="34"/>
  <c r="V139" i="34"/>
  <c r="V231" i="34"/>
  <c r="V272" i="34"/>
  <c r="V343" i="34"/>
  <c r="V335" i="34"/>
  <c r="V701" i="34"/>
  <c r="V847" i="34"/>
  <c r="V855" i="34"/>
  <c r="V867" i="34"/>
  <c r="V2218" i="34"/>
  <c r="V1536" i="34"/>
  <c r="V1623" i="34"/>
  <c r="V63" i="34"/>
  <c r="V127" i="34"/>
  <c r="V131" i="34"/>
  <c r="V502" i="34"/>
  <c r="V524" i="34"/>
  <c r="V286" i="34"/>
  <c r="V813" i="34"/>
  <c r="V727" i="34"/>
  <c r="V779" i="34"/>
  <c r="V880" i="34"/>
  <c r="V915" i="34"/>
  <c r="V175" i="34"/>
  <c r="V181" i="34"/>
  <c r="V185" i="34"/>
  <c r="V228" i="34"/>
  <c r="V232" i="34"/>
  <c r="V302" i="34"/>
  <c r="V308" i="34"/>
  <c r="V375" i="34"/>
  <c r="V393" i="34"/>
  <c r="V221" i="34"/>
  <c r="V611" i="34"/>
  <c r="V675" i="34"/>
  <c r="V819" i="34"/>
  <c r="V827" i="34"/>
  <c r="V835" i="34"/>
  <c r="V837" i="34"/>
  <c r="V1533" i="34"/>
  <c r="V1998" i="34"/>
  <c r="V935" i="34"/>
  <c r="V965" i="34"/>
  <c r="V1093" i="34"/>
  <c r="V1476" i="34"/>
  <c r="V1731" i="34"/>
  <c r="V100" i="34"/>
  <c r="V114" i="34"/>
  <c r="V128" i="34"/>
  <c r="V753" i="34"/>
  <c r="V765" i="34"/>
  <c r="V532" i="34"/>
  <c r="V791" i="34"/>
  <c r="V755" i="34"/>
  <c r="V797" i="34"/>
  <c r="V141" i="34"/>
  <c r="V229" i="34"/>
  <c r="V266" i="34"/>
  <c r="V274" i="34"/>
  <c r="V329" i="34"/>
  <c r="V345" i="34"/>
  <c r="V337" i="34"/>
  <c r="V613" i="34"/>
  <c r="V693" i="34"/>
  <c r="V2070" i="34"/>
  <c r="V2084" i="34"/>
  <c r="V2214" i="34"/>
  <c r="V2216" i="34"/>
  <c r="V849" i="34"/>
  <c r="V857" i="34"/>
  <c r="V869" i="34"/>
  <c r="V1534" i="34"/>
  <c r="V1169" i="34"/>
  <c r="V1589" i="34"/>
  <c r="V92" i="34"/>
  <c r="V106" i="34"/>
  <c r="V133" i="34"/>
  <c r="V757" i="34"/>
  <c r="V769" i="34"/>
  <c r="V452" i="34"/>
  <c r="V494" i="34"/>
  <c r="V288" i="34"/>
  <c r="V86" i="34"/>
  <c r="V729" i="34"/>
  <c r="V949" i="34"/>
  <c r="V183" i="34"/>
  <c r="V304" i="34"/>
  <c r="V326" i="34"/>
  <c r="V361" i="34"/>
  <c r="V377" i="34"/>
  <c r="V395" i="34"/>
  <c r="V146" i="34"/>
  <c r="V585" i="34"/>
  <c r="V305" i="34"/>
  <c r="V281" i="34"/>
  <c r="V889" i="34"/>
  <c r="V902" i="34"/>
  <c r="V2022" i="34"/>
  <c r="V2176" i="34"/>
  <c r="V2098" i="34"/>
  <c r="V2085" i="34"/>
  <c r="V1750" i="34"/>
  <c r="V483" i="34"/>
  <c r="B873" i="34"/>
  <c r="B878" i="34"/>
  <c r="B144" i="34"/>
  <c r="B145" i="34"/>
  <c r="V145" i="34" l="1"/>
  <c r="V878" i="34"/>
  <c r="V144" i="34"/>
  <c r="V873" i="34"/>
  <c r="A145" i="34"/>
  <c r="A878" i="34"/>
  <c r="A144" i="34"/>
  <c r="A873" i="34"/>
  <c r="B178" i="34"/>
  <c r="B164" i="34"/>
  <c r="V164" i="34" l="1"/>
  <c r="V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F12" i="61"/>
  <c r="G12" i="61"/>
  <c r="H12" i="61"/>
  <c r="C12" i="61"/>
  <c r="D12" i="61"/>
  <c r="I12" i="61"/>
  <c r="E12" i="61"/>
  <c r="V179" i="34" l="1"/>
  <c r="V766" i="34"/>
  <c r="A179" i="34"/>
  <c r="A766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V187" i="34" l="1"/>
  <c r="V194" i="34"/>
  <c r="A187" i="34"/>
  <c r="A194" i="34"/>
  <c r="B32" i="55"/>
  <c r="A32" i="55" s="1"/>
  <c r="A33" i="55"/>
  <c r="T10" i="34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AA1901" i="34" l="1"/>
  <c r="AA1902" i="34"/>
  <c r="AA1616" i="34"/>
  <c r="AA1614" i="34"/>
  <c r="AA1615" i="34"/>
  <c r="AA1986" i="34"/>
  <c r="AA1987" i="34"/>
  <c r="AA1975" i="34"/>
  <c r="AA2697" i="34"/>
  <c r="AA2705" i="34"/>
  <c r="AA2699" i="34"/>
  <c r="AA2707" i="34"/>
  <c r="AA2700" i="34"/>
  <c r="AA2708" i="34"/>
  <c r="AA2694" i="34"/>
  <c r="AA2702" i="34"/>
  <c r="AA2701" i="34"/>
  <c r="AA2709" i="34"/>
  <c r="AA2695" i="34"/>
  <c r="AA2703" i="34"/>
  <c r="AA2696" i="34"/>
  <c r="AA2704" i="34"/>
  <c r="AA2698" i="34"/>
  <c r="AA2706" i="34"/>
  <c r="AA1974" i="34"/>
  <c r="AA1689" i="34"/>
  <c r="AA1691" i="34"/>
  <c r="AA1693" i="34"/>
  <c r="AA1486" i="34"/>
  <c r="AA1462" i="34"/>
  <c r="AA1461" i="34"/>
  <c r="AA1487" i="34"/>
  <c r="AA1485" i="34"/>
  <c r="AA1690" i="34"/>
  <c r="AA1692" i="34"/>
  <c r="AA1873" i="34"/>
  <c r="AA1726" i="34"/>
  <c r="AA1725" i="34"/>
  <c r="AA1874" i="34"/>
  <c r="AA1402" i="34"/>
  <c r="AA1641" i="34"/>
  <c r="AA1767" i="34"/>
  <c r="AA1430" i="34"/>
  <c r="AA1400" i="34"/>
  <c r="AA1442" i="34"/>
  <c r="AA1645" i="34"/>
  <c r="AA1436" i="34"/>
  <c r="AA1643" i="34"/>
  <c r="AA1441" i="34"/>
  <c r="AA1646" i="34"/>
  <c r="AA1399" i="34"/>
  <c r="AA1642" i="34"/>
  <c r="AA1429" i="34"/>
  <c r="AA1766" i="34"/>
  <c r="AA1435" i="34"/>
  <c r="AA1644" i="34"/>
  <c r="AA1401" i="34"/>
  <c r="AA1437" i="34"/>
  <c r="AA1443" i="34"/>
  <c r="AA1431" i="34"/>
  <c r="AA1718" i="34"/>
  <c r="AA1883" i="34"/>
  <c r="AA1713" i="34"/>
  <c r="AA1776" i="34"/>
  <c r="AA1831" i="34"/>
  <c r="AA1872" i="34"/>
  <c r="AA1908" i="34"/>
  <c r="AA1782" i="34"/>
  <c r="AA1823" i="34"/>
  <c r="AA1716" i="34"/>
  <c r="AA1785" i="34"/>
  <c r="AA1824" i="34"/>
  <c r="AA1915" i="34"/>
  <c r="AA1911" i="34"/>
  <c r="AA1786" i="34"/>
  <c r="AA1849" i="34"/>
  <c r="AA1868" i="34"/>
  <c r="AA1777" i="34"/>
  <c r="AA1848" i="34"/>
  <c r="AA1924" i="34"/>
  <c r="AA1717" i="34"/>
  <c r="AA1850" i="34"/>
  <c r="AA1869" i="34"/>
  <c r="AA1783" i="34"/>
  <c r="AA1792" i="34"/>
  <c r="AA1741" i="34"/>
  <c r="AA1893" i="34"/>
  <c r="AA1843" i="34"/>
  <c r="AA1916" i="34"/>
  <c r="AA1840" i="34"/>
  <c r="AA1913" i="34"/>
  <c r="AA1909" i="34"/>
  <c r="AA1922" i="34"/>
  <c r="AA1945" i="34"/>
  <c r="AA1866" i="34"/>
  <c r="AA1714" i="34"/>
  <c r="AA1715" i="34"/>
  <c r="AA1799" i="34"/>
  <c r="AA1464" i="34"/>
  <c r="AA1917" i="34"/>
  <c r="AA1912" i="34"/>
  <c r="AA1847" i="34"/>
  <c r="AA1918" i="34"/>
  <c r="AA1719" i="34"/>
  <c r="AA1910" i="34"/>
  <c r="AA1919" i="34"/>
  <c r="AA1005" i="34"/>
  <c r="AA1864" i="34"/>
  <c r="AA1791" i="34"/>
  <c r="AA1842" i="34"/>
  <c r="AA1867" i="34"/>
  <c r="AA1790" i="34"/>
  <c r="AA1921" i="34"/>
  <c r="AA1668" i="34"/>
  <c r="AA1870" i="34"/>
  <c r="AA1892" i="34"/>
  <c r="AA1914" i="34"/>
  <c r="AA1789" i="34"/>
  <c r="AA1822" i="34"/>
  <c r="AA1891" i="34"/>
  <c r="AA1463" i="34"/>
  <c r="AA1920" i="34"/>
  <c r="AA1787" i="34"/>
  <c r="AA1863" i="34"/>
  <c r="AA1788" i="34"/>
  <c r="AA1890" i="34"/>
  <c r="AA1865" i="34"/>
  <c r="AA1841" i="34"/>
  <c r="AA1871" i="34"/>
  <c r="AA1669" i="34"/>
  <c r="AA1923" i="34"/>
  <c r="AA1784" i="34"/>
  <c r="AA1827" i="34"/>
  <c r="AA1829" i="34"/>
  <c r="AA1905" i="34"/>
  <c r="AA1889" i="34"/>
  <c r="AA1769" i="34"/>
  <c r="AA1797" i="34"/>
  <c r="AA1933" i="34"/>
  <c r="AA1825" i="34"/>
  <c r="AA1811" i="34"/>
  <c r="AA1801" i="34"/>
  <c r="AA1795" i="34"/>
  <c r="AA1853" i="34"/>
  <c r="AA1835" i="34"/>
  <c r="AA1861" i="34"/>
  <c r="AA1881" i="34"/>
  <c r="AA1805" i="34"/>
  <c r="AA1895" i="34"/>
  <c r="AA1851" i="34"/>
  <c r="AA1859" i="34"/>
  <c r="AA1833" i="34"/>
  <c r="AA1845" i="34"/>
  <c r="AA1899" i="34"/>
  <c r="AA1879" i="34"/>
  <c r="AA1803" i="34"/>
  <c r="AA1932" i="34"/>
  <c r="AA1885" i="34"/>
  <c r="AA1763" i="34"/>
  <c r="AA1765" i="34"/>
  <c r="AA1852" i="34"/>
  <c r="AA1832" i="34"/>
  <c r="AA1834" i="34"/>
  <c r="AA1846" i="34"/>
  <c r="AA1930" i="34"/>
  <c r="AA1780" i="34"/>
  <c r="AA1778" i="34"/>
  <c r="AA1768" i="34"/>
  <c r="AA1906" i="34"/>
  <c r="AA1931" i="34"/>
  <c r="AA1836" i="34"/>
  <c r="AA1900" i="34"/>
  <c r="AA1810" i="34"/>
  <c r="AA1764" i="34"/>
  <c r="AA1770" i="34"/>
  <c r="AA1798" i="34"/>
  <c r="AA1814" i="34"/>
  <c r="AA1904" i="34"/>
  <c r="AA1926" i="34"/>
  <c r="AA1896" i="34"/>
  <c r="AA1898" i="34"/>
  <c r="AA1815" i="34"/>
  <c r="AA1897" i="34"/>
  <c r="AA1807" i="34"/>
  <c r="AA1809" i="34"/>
  <c r="AA1860" i="34"/>
  <c r="AA1804" i="34"/>
  <c r="AA1806" i="34"/>
  <c r="AA1816" i="34"/>
  <c r="AA1826" i="34"/>
  <c r="AA1888" i="34"/>
  <c r="AA1894" i="34"/>
  <c r="AA1844" i="34"/>
  <c r="AA1876" i="34"/>
  <c r="AA1882" i="34"/>
  <c r="AA1802" i="34"/>
  <c r="AA1884" i="34"/>
  <c r="AA1927" i="34"/>
  <c r="AA1813" i="34"/>
  <c r="AA1929" i="34"/>
  <c r="AA1925" i="34"/>
  <c r="AA1875" i="34"/>
  <c r="AA1854" i="34"/>
  <c r="AA1856" i="34"/>
  <c r="AA1878" i="34"/>
  <c r="AA1808" i="34"/>
  <c r="AA1828" i="34"/>
  <c r="AA1886" i="34"/>
  <c r="AA1862" i="34"/>
  <c r="AA1934" i="34"/>
  <c r="AA1830" i="34"/>
  <c r="AA1812" i="34"/>
  <c r="AA1880" i="34"/>
  <c r="AA1935" i="34"/>
  <c r="AA1779" i="34"/>
  <c r="AA1839" i="34"/>
  <c r="AA1877" i="34"/>
  <c r="AA1855" i="34"/>
  <c r="AA1837" i="34"/>
  <c r="AA1838" i="34"/>
  <c r="AA1858" i="34"/>
  <c r="AA1794" i="34"/>
  <c r="AA1857" i="34"/>
  <c r="AA1887" i="34"/>
  <c r="AA1793" i="34"/>
  <c r="AA1620" i="34"/>
  <c r="AA1687" i="34"/>
  <c r="AA1688" i="34"/>
  <c r="AA1632" i="34"/>
  <c r="AA1695" i="34"/>
  <c r="AA1694" i="34"/>
  <c r="AA1633" i="34"/>
  <c r="AA1712" i="34"/>
  <c r="AA1666" i="34"/>
  <c r="AA1634" i="34"/>
  <c r="AA1667" i="34"/>
  <c r="AA1508" i="34"/>
  <c r="AA1458" i="34"/>
  <c r="AA1579" i="34"/>
  <c r="AA1708" i="34"/>
  <c r="AA1446" i="34"/>
  <c r="AA1504" i="34"/>
  <c r="AA1489" i="34"/>
  <c r="AA1490" i="34"/>
  <c r="AA1679" i="34"/>
  <c r="AA1526" i="34"/>
  <c r="AA1491" i="34"/>
  <c r="AA1570" i="34"/>
  <c r="AA1502" i="34"/>
  <c r="AA1907" i="34"/>
  <c r="AA1451" i="34"/>
  <c r="AA1450" i="34"/>
  <c r="AA1611" i="34"/>
  <c r="AA1606" i="34"/>
  <c r="AA1509" i="34"/>
  <c r="AA1455" i="34"/>
  <c r="AA1466" i="34"/>
  <c r="AA1903" i="34"/>
  <c r="AA1711" i="34"/>
  <c r="AA1733" i="34"/>
  <c r="AA1527" i="34"/>
  <c r="AA1608" i="34"/>
  <c r="AA1492" i="34"/>
  <c r="AA1581" i="34"/>
  <c r="AA1510" i="34"/>
  <c r="AA1452" i="34"/>
  <c r="AA1494" i="34"/>
  <c r="AA1781" i="34"/>
  <c r="AA1496" i="34"/>
  <c r="AA1928" i="34"/>
  <c r="AA1737" i="34"/>
  <c r="AA1771" i="34"/>
  <c r="AA1705" i="34"/>
  <c r="AA1613" i="34"/>
  <c r="AA1550" i="34"/>
  <c r="AA1607" i="34"/>
  <c r="AA1454" i="34"/>
  <c r="AA1521" i="34"/>
  <c r="AA1820" i="34"/>
  <c r="AA1530" i="34"/>
  <c r="AA1704" i="34"/>
  <c r="AA1707" i="34"/>
  <c r="AA1529" i="34"/>
  <c r="AA1734" i="34"/>
  <c r="AA1582" i="34"/>
  <c r="AA1724" i="34"/>
  <c r="AA1457" i="34"/>
  <c r="AA1710" i="34"/>
  <c r="AA1598" i="34"/>
  <c r="AA1772" i="34"/>
  <c r="AA1444" i="34"/>
  <c r="AA1498" i="34"/>
  <c r="AA1774" i="34"/>
  <c r="AA1775" i="34"/>
  <c r="AA1493" i="34"/>
  <c r="AA1796" i="34"/>
  <c r="AA1736" i="34"/>
  <c r="AA1680" i="34"/>
  <c r="AA1519" i="34"/>
  <c r="AA1818" i="34"/>
  <c r="AA1580" i="34"/>
  <c r="AA1706" i="34"/>
  <c r="AA1567" i="34"/>
  <c r="AA1495" i="34"/>
  <c r="AA1445" i="34"/>
  <c r="AA1664" i="34"/>
  <c r="AA1453" i="34"/>
  <c r="AA1599" i="34"/>
  <c r="AA1732" i="34"/>
  <c r="AA1488" i="34"/>
  <c r="AA1518" i="34"/>
  <c r="AA1577" i="34"/>
  <c r="AA1506" i="34"/>
  <c r="AA1448" i="34"/>
  <c r="AA1460" i="34"/>
  <c r="AA1609" i="34"/>
  <c r="AA1438" i="34"/>
  <c r="AA1821" i="34"/>
  <c r="AA1505" i="34"/>
  <c r="AA1588" i="34"/>
  <c r="AA1511" i="34"/>
  <c r="AA1449" i="34"/>
  <c r="AA1474" i="34"/>
  <c r="AA1569" i="34"/>
  <c r="AA1517" i="34"/>
  <c r="AA1800" i="34"/>
  <c r="AA1551" i="34"/>
  <c r="AA1612" i="34"/>
  <c r="AA1497" i="34"/>
  <c r="AA1447" i="34"/>
  <c r="AA1571" i="34"/>
  <c r="AA1650" i="34"/>
  <c r="AA1503" i="34"/>
  <c r="AA1740" i="34"/>
  <c r="AA1473" i="34"/>
  <c r="AA1568" i="34"/>
  <c r="AA1576" i="34"/>
  <c r="AA1459" i="34"/>
  <c r="AA1773" i="34"/>
  <c r="AA1525" i="34"/>
  <c r="AA1501" i="34"/>
  <c r="AA1507" i="34"/>
  <c r="AA1610" i="34"/>
  <c r="AA1520" i="34"/>
  <c r="AA1819" i="34"/>
  <c r="AA1528" i="34"/>
  <c r="AA1465" i="34"/>
  <c r="AA1578" i="34"/>
  <c r="AA1735" i="34"/>
  <c r="AA1817" i="34"/>
  <c r="AA1738" i="34"/>
  <c r="AA1739" i="34"/>
  <c r="AA1665" i="34"/>
  <c r="AA1548" i="34"/>
  <c r="AA1456" i="34"/>
  <c r="AA1709" i="34"/>
  <c r="AA1597" i="34"/>
  <c r="AA1392" i="34"/>
  <c r="AA1549" i="34"/>
  <c r="AA1572" i="34"/>
  <c r="AA863" i="34"/>
  <c r="AA373" i="34"/>
  <c r="AA448" i="34"/>
  <c r="AA504" i="34"/>
  <c r="AA526" i="34"/>
  <c r="AA512" i="34"/>
  <c r="AA365" i="34"/>
  <c r="AA468" i="34"/>
  <c r="AA1289" i="34"/>
  <c r="AA596" i="34"/>
  <c r="AA360" i="34"/>
  <c r="AA487" i="34"/>
  <c r="AA533" i="34"/>
  <c r="AA1381" i="34"/>
  <c r="AA355" i="34"/>
  <c r="AA389" i="34"/>
  <c r="AA496" i="34"/>
  <c r="AA529" i="34"/>
  <c r="AA1944" i="34"/>
  <c r="AA1943" i="34"/>
  <c r="AA25" i="34"/>
  <c r="AA37" i="34"/>
  <c r="AA49" i="34"/>
  <c r="AA61" i="34"/>
  <c r="AA35" i="34"/>
  <c r="AA59" i="34"/>
  <c r="AA27" i="34"/>
  <c r="AA41" i="34"/>
  <c r="AA23" i="34"/>
  <c r="AA39" i="34"/>
  <c r="AA51" i="34"/>
  <c r="AA50" i="34"/>
  <c r="AA40" i="34"/>
  <c r="AA52" i="34"/>
  <c r="AA62" i="34"/>
  <c r="AA32" i="34"/>
  <c r="AA26" i="34"/>
  <c r="AA28" i="34"/>
  <c r="AA30" i="34"/>
  <c r="AA42" i="34"/>
  <c r="AA54" i="34"/>
  <c r="AA29" i="34"/>
  <c r="AA31" i="34"/>
  <c r="AA43" i="34"/>
  <c r="AA55" i="34"/>
  <c r="AA53" i="34"/>
  <c r="AA47" i="34"/>
  <c r="AA33" i="34"/>
  <c r="AA45" i="34"/>
  <c r="AA57" i="34"/>
  <c r="AA34" i="34"/>
  <c r="AA46" i="34"/>
  <c r="AA58" i="34"/>
  <c r="AA44" i="34"/>
  <c r="AA56" i="34"/>
  <c r="AA38" i="34"/>
  <c r="AA24" i="34"/>
  <c r="AA36" i="34"/>
  <c r="AA48" i="34"/>
  <c r="AA60" i="34"/>
  <c r="AA18" i="34"/>
  <c r="AA1263" i="34"/>
  <c r="AA1269" i="34"/>
  <c r="AA1265" i="34"/>
  <c r="AA1267" i="34"/>
  <c r="AA1271" i="34"/>
  <c r="AA1266" i="34"/>
  <c r="AA1268" i="34"/>
  <c r="AA1262" i="34"/>
  <c r="AA1264" i="34"/>
  <c r="AA1270" i="34"/>
  <c r="AA282" i="34"/>
  <c r="AA747" i="34"/>
  <c r="AA1330" i="34"/>
  <c r="AA1333" i="34"/>
  <c r="AA1391" i="34"/>
  <c r="AA1312" i="34"/>
  <c r="AA1335" i="34"/>
  <c r="AA1334" i="34"/>
  <c r="AA1358" i="34"/>
  <c r="AA1412" i="34"/>
  <c r="AA1411" i="34"/>
  <c r="AA1394" i="34"/>
  <c r="AA1376" i="34"/>
  <c r="AA1331" i="34"/>
  <c r="AA1354" i="34"/>
  <c r="AA1413" i="34"/>
  <c r="AA1332" i="34"/>
  <c r="AA1355" i="34"/>
  <c r="AA1356" i="34"/>
  <c r="AA1353" i="34"/>
  <c r="AA1357" i="34"/>
  <c r="AA1393" i="34"/>
  <c r="AA1410" i="34"/>
  <c r="AA1440" i="34"/>
  <c r="AA1439" i="34"/>
  <c r="AA1388" i="34"/>
  <c r="AA1215" i="34"/>
  <c r="AA1229" i="34"/>
  <c r="AA1251" i="34"/>
  <c r="AA1311" i="34"/>
  <c r="AA1317" i="34"/>
  <c r="AA1329" i="34"/>
  <c r="AA1382" i="34"/>
  <c r="AA1297" i="34"/>
  <c r="AA1432" i="34"/>
  <c r="AA1434" i="34"/>
  <c r="AA1408" i="34"/>
  <c r="AA1249" i="34"/>
  <c r="AA1303" i="34"/>
  <c r="AA1315" i="34"/>
  <c r="AA1428" i="34"/>
  <c r="AA1404" i="34"/>
  <c r="AA1219" i="34"/>
  <c r="AA1225" i="34"/>
  <c r="AA1239" i="34"/>
  <c r="AA1291" i="34"/>
  <c r="AA1295" i="34"/>
  <c r="AA1309" i="34"/>
  <c r="AA1351" i="34"/>
  <c r="AA1423" i="34"/>
  <c r="AA1272" i="34"/>
  <c r="AA1222" i="34"/>
  <c r="AA1282" i="34"/>
  <c r="AA1306" i="34"/>
  <c r="AA1405" i="34"/>
  <c r="AA1389" i="34"/>
  <c r="AA1415" i="34"/>
  <c r="AA1216" i="34"/>
  <c r="AA1252" i="34"/>
  <c r="AA1274" i="34"/>
  <c r="AA1298" i="34"/>
  <c r="AA1349" i="34"/>
  <c r="AA1383" i="34"/>
  <c r="AA1421" i="34"/>
  <c r="AA1220" i="34"/>
  <c r="AA1246" i="34"/>
  <c r="AA1359" i="34"/>
  <c r="AA1387" i="34"/>
  <c r="AA1214" i="34"/>
  <c r="AA1250" i="34"/>
  <c r="AA1310" i="34"/>
  <c r="AA1316" i="34"/>
  <c r="AA1343" i="34"/>
  <c r="AA1366" i="34"/>
  <c r="AA1420" i="34"/>
  <c r="AA1418" i="34"/>
  <c r="AA1285" i="34"/>
  <c r="AA1301" i="34"/>
  <c r="AA1313" i="34"/>
  <c r="AA1386" i="34"/>
  <c r="AA1352" i="34"/>
  <c r="AA1424" i="34"/>
  <c r="AA1217" i="34"/>
  <c r="AA1223" i="34"/>
  <c r="AA1237" i="34"/>
  <c r="AA1293" i="34"/>
  <c r="AA1307" i="34"/>
  <c r="AA1344" i="34"/>
  <c r="AA1390" i="34"/>
  <c r="AA1416" i="34"/>
  <c r="AA1273" i="34"/>
  <c r="AA1283" i="34"/>
  <c r="AA1299" i="34"/>
  <c r="AA1350" i="34"/>
  <c r="AA1384" i="34"/>
  <c r="AA1414" i="34"/>
  <c r="AA1422" i="34"/>
  <c r="AA1221" i="34"/>
  <c r="AA1247" i="34"/>
  <c r="AA1281" i="34"/>
  <c r="AA1305" i="34"/>
  <c r="AA1403" i="34"/>
  <c r="AA1409" i="34"/>
  <c r="AA1226" i="34"/>
  <c r="AA1240" i="34"/>
  <c r="AA1292" i="34"/>
  <c r="AA1296" i="34"/>
  <c r="AA1433" i="34"/>
  <c r="AA1419" i="34"/>
  <c r="AA1236" i="34"/>
  <c r="AA1248" i="34"/>
  <c r="AA1286" i="34"/>
  <c r="AA1302" i="34"/>
  <c r="AA1314" i="34"/>
  <c r="AA1385" i="34"/>
  <c r="AA1425" i="34"/>
  <c r="AA1218" i="34"/>
  <c r="AA1224" i="34"/>
  <c r="AA1238" i="34"/>
  <c r="AA1290" i="34"/>
  <c r="AA1304" i="34"/>
  <c r="AA1294" i="34"/>
  <c r="AA1308" i="34"/>
  <c r="AA1345" i="34"/>
  <c r="AA1417" i="34"/>
  <c r="AA1284" i="34"/>
  <c r="AA1300" i="34"/>
  <c r="AA1336" i="34"/>
  <c r="AA1321" i="34"/>
  <c r="AA1360" i="34"/>
  <c r="AA1323" i="34"/>
  <c r="AA1324" i="34"/>
  <c r="AA1361" i="34"/>
  <c r="AA1322" i="34"/>
  <c r="AA1320" i="34"/>
  <c r="AA1362" i="34"/>
  <c r="AA1065" i="34"/>
  <c r="AA1279" i="34"/>
  <c r="AA1106" i="34"/>
  <c r="AA1126" i="34"/>
  <c r="AA1102" i="34"/>
  <c r="AA1277" i="34"/>
  <c r="AA1103" i="34"/>
  <c r="AA1275" i="34"/>
  <c r="AA1125" i="34"/>
  <c r="AA1105" i="34"/>
  <c r="AA1139" i="34"/>
  <c r="AA1318" i="34"/>
  <c r="AA1104" i="34"/>
  <c r="AA1066" i="34"/>
  <c r="AA1276" i="34"/>
  <c r="AA1124" i="34"/>
  <c r="AA1278" i="34"/>
  <c r="AA1280" i="34"/>
  <c r="AA1213" i="34"/>
  <c r="AA1212" i="34"/>
  <c r="AA1375" i="34"/>
  <c r="AA1374" i="34"/>
  <c r="AA723" i="34"/>
  <c r="AA1325" i="34"/>
  <c r="AA947" i="34"/>
  <c r="AA1327" i="34"/>
  <c r="AA1319" i="34"/>
  <c r="AA1328" i="34"/>
  <c r="AA739" i="34"/>
  <c r="AA981" i="34"/>
  <c r="AA957" i="34"/>
  <c r="AA946" i="34"/>
  <c r="AA980" i="34"/>
  <c r="AA948" i="34"/>
  <c r="AA958" i="34"/>
  <c r="AA724" i="34"/>
  <c r="AA1326" i="34"/>
  <c r="AA722" i="34"/>
  <c r="AA721" i="34"/>
  <c r="AA908" i="34"/>
  <c r="AA2639" i="34"/>
  <c r="AA2665" i="34"/>
  <c r="AA2715" i="34"/>
  <c r="AA2797" i="34"/>
  <c r="AA2819" i="34"/>
  <c r="AA2649" i="34"/>
  <c r="AA2607" i="34"/>
  <c r="AA2629" i="34"/>
  <c r="AA2655" i="34"/>
  <c r="AA2677" i="34"/>
  <c r="AA2737" i="34"/>
  <c r="AA2813" i="34"/>
  <c r="AA2508" i="34"/>
  <c r="AA2656" i="34"/>
  <c r="AA2714" i="34"/>
  <c r="AA2738" i="34"/>
  <c r="AA2796" i="34"/>
  <c r="AA2814" i="34"/>
  <c r="AA2788" i="34"/>
  <c r="AA2602" i="34"/>
  <c r="AA2780" i="34"/>
  <c r="AA2736" i="34"/>
  <c r="AA2720" i="34"/>
  <c r="AA2774" i="34"/>
  <c r="AA2784" i="34"/>
  <c r="AA2642" i="34"/>
  <c r="AA2721" i="34"/>
  <c r="AA2779" i="34"/>
  <c r="AA2735" i="34"/>
  <c r="AA2719" i="34"/>
  <c r="AA2755" i="34"/>
  <c r="AA2773" i="34"/>
  <c r="AA2783" i="34"/>
  <c r="AA2653" i="34"/>
  <c r="AA2777" i="34"/>
  <c r="AA2821" i="34"/>
  <c r="AA2632" i="34"/>
  <c r="AA2778" i="34"/>
  <c r="AA2754" i="34"/>
  <c r="AA2772" i="34"/>
  <c r="AA2640" i="34"/>
  <c r="AA2666" i="34"/>
  <c r="AA2798" i="34"/>
  <c r="AA2820" i="34"/>
  <c r="AA14" i="34"/>
  <c r="AA2330" i="34"/>
  <c r="AA2221" i="34"/>
  <c r="AA1585" i="34"/>
  <c r="AA2332" i="34"/>
  <c r="AA2900" i="34"/>
  <c r="AA877" i="34"/>
  <c r="AA2902" i="34"/>
  <c r="AA2031" i="34"/>
  <c r="AA2033" i="34"/>
  <c r="AA1946" i="34"/>
  <c r="AA1677" i="34"/>
  <c r="AA1683" i="34"/>
  <c r="AA1757" i="34"/>
  <c r="AA1524" i="34"/>
  <c r="AA2050" i="34"/>
  <c r="AA2102" i="34"/>
  <c r="AA2132" i="34"/>
  <c r="AA2160" i="34"/>
  <c r="AA1255" i="34"/>
  <c r="AA1406" i="34"/>
  <c r="AA1936" i="34"/>
  <c r="AA1565" i="34"/>
  <c r="AA1751" i="34"/>
  <c r="AA1175" i="34"/>
  <c r="AA1183" i="34"/>
  <c r="AA2184" i="34"/>
  <c r="AA1637" i="34"/>
  <c r="AA2189" i="34"/>
  <c r="AA2187" i="34"/>
  <c r="AA1648" i="34"/>
  <c r="AA1337" i="34"/>
  <c r="AA1479" i="34"/>
  <c r="AA974" i="34"/>
  <c r="AA1028" i="34"/>
  <c r="AA1118" i="34"/>
  <c r="AA3243" i="34"/>
  <c r="AA1678" i="34"/>
  <c r="AA1684" i="34"/>
  <c r="AA1758" i="34"/>
  <c r="AA1639" i="34"/>
  <c r="AA1629" i="34"/>
  <c r="AA1761" i="34"/>
  <c r="AA2046" i="34"/>
  <c r="AA2106" i="34"/>
  <c r="AA2128" i="34"/>
  <c r="AA2136" i="34"/>
  <c r="AA2164" i="34"/>
  <c r="AA2044" i="34"/>
  <c r="AA1171" i="34"/>
  <c r="AA1179" i="34"/>
  <c r="AA1472" i="34"/>
  <c r="AA2180" i="34"/>
  <c r="AA2188" i="34"/>
  <c r="AA1470" i="34"/>
  <c r="AA2183" i="34"/>
  <c r="AA1636" i="34"/>
  <c r="AA2087" i="34"/>
  <c r="AA2179" i="34"/>
  <c r="AA1244" i="34"/>
  <c r="AA970" i="34"/>
  <c r="AA1032" i="34"/>
  <c r="AA1122" i="34"/>
  <c r="AA2185" i="34"/>
  <c r="AA1630" i="34"/>
  <c r="AA1674" i="34"/>
  <c r="AA1762" i="34"/>
  <c r="AA2047" i="34"/>
  <c r="AA2099" i="34"/>
  <c r="AA2107" i="34"/>
  <c r="AA2129" i="34"/>
  <c r="AA2157" i="34"/>
  <c r="AA2165" i="34"/>
  <c r="AA1172" i="34"/>
  <c r="AA1180" i="34"/>
  <c r="AA1638" i="34"/>
  <c r="AA1477" i="34"/>
  <c r="AA972" i="34"/>
  <c r="AA1026" i="34"/>
  <c r="AA1034" i="34"/>
  <c r="AA1760" i="34"/>
  <c r="AA2045" i="34"/>
  <c r="AA2105" i="34"/>
  <c r="AA2135" i="34"/>
  <c r="AA2163" i="34"/>
  <c r="AA1188" i="34"/>
  <c r="AA1258" i="34"/>
  <c r="AA1513" i="34"/>
  <c r="AA1628" i="34"/>
  <c r="AA1130" i="34"/>
  <c r="AA1178" i="34"/>
  <c r="AA1245" i="34"/>
  <c r="AA971" i="34"/>
  <c r="AA1033" i="34"/>
  <c r="AA1123" i="34"/>
  <c r="AA1759" i="34"/>
  <c r="AA2052" i="34"/>
  <c r="AA2104" i="34"/>
  <c r="AA2134" i="34"/>
  <c r="AA2162" i="34"/>
  <c r="AA1187" i="34"/>
  <c r="AA1257" i="34"/>
  <c r="AA1512" i="34"/>
  <c r="AA1627" i="34"/>
  <c r="AA1129" i="34"/>
  <c r="AA1177" i="34"/>
  <c r="AA1185" i="34"/>
  <c r="AA2182" i="34"/>
  <c r="AA2190" i="34"/>
  <c r="AA1635" i="34"/>
  <c r="AA2086" i="34"/>
  <c r="AA2178" i="34"/>
  <c r="AA1243" i="34"/>
  <c r="AA2024" i="34"/>
  <c r="AA969" i="34"/>
  <c r="AA1031" i="34"/>
  <c r="AA1121" i="34"/>
  <c r="AA2051" i="34"/>
  <c r="AA2103" i="34"/>
  <c r="AA2133" i="34"/>
  <c r="AA2161" i="34"/>
  <c r="AA1186" i="34"/>
  <c r="AA1256" i="34"/>
  <c r="AA1407" i="34"/>
  <c r="AA1566" i="34"/>
  <c r="AA1752" i="34"/>
  <c r="AA978" i="34"/>
  <c r="AA1176" i="34"/>
  <c r="AA1184" i="34"/>
  <c r="AA2181" i="34"/>
  <c r="AA1471" i="34"/>
  <c r="AA2177" i="34"/>
  <c r="AA1339" i="34"/>
  <c r="AA2023" i="34"/>
  <c r="AA968" i="34"/>
  <c r="AA1030" i="34"/>
  <c r="AA1120" i="34"/>
  <c r="AA148" i="34"/>
  <c r="AA1640" i="34"/>
  <c r="AA1676" i="34"/>
  <c r="AA1682" i="34"/>
  <c r="AA1756" i="34"/>
  <c r="AA1523" i="34"/>
  <c r="AA2049" i="34"/>
  <c r="AA2101" i="34"/>
  <c r="AA2109" i="34"/>
  <c r="AA2131" i="34"/>
  <c r="AA2159" i="34"/>
  <c r="AA1254" i="34"/>
  <c r="AA1427" i="34"/>
  <c r="AA1174" i="34"/>
  <c r="AA1182" i="34"/>
  <c r="AA2460" i="34"/>
  <c r="AA1977" i="34"/>
  <c r="AA1338" i="34"/>
  <c r="AA1937" i="34"/>
  <c r="AA1480" i="34"/>
  <c r="AA967" i="34"/>
  <c r="AA1029" i="34"/>
  <c r="AA1119" i="34"/>
  <c r="AA1631" i="34"/>
  <c r="AA1675" i="34"/>
  <c r="AA1681" i="34"/>
  <c r="AA1755" i="34"/>
  <c r="AA1522" i="34"/>
  <c r="AA2048" i="34"/>
  <c r="AA2100" i="34"/>
  <c r="AA2108" i="34"/>
  <c r="AA2130" i="34"/>
  <c r="AA2158" i="34"/>
  <c r="AA1253" i="34"/>
  <c r="AA1426" i="34"/>
  <c r="AA1173" i="34"/>
  <c r="AA1181" i="34"/>
  <c r="AA2186" i="34"/>
  <c r="AA1647" i="34"/>
  <c r="AA1478" i="34"/>
  <c r="AA973" i="34"/>
  <c r="AA1027" i="34"/>
  <c r="AA1117" i="34"/>
  <c r="AA1978" i="34"/>
  <c r="AA1976" i="34"/>
  <c r="AA1979" i="34"/>
  <c r="AA599" i="34"/>
  <c r="AA552" i="34"/>
  <c r="AA1203" i="34"/>
  <c r="AA149" i="34"/>
  <c r="AA516" i="34"/>
  <c r="AA538" i="34"/>
  <c r="AA617" i="34"/>
  <c r="AA625" i="34"/>
  <c r="AA631" i="34"/>
  <c r="AA961" i="34"/>
  <c r="AA1035" i="34"/>
  <c r="AA1043" i="34"/>
  <c r="AA1051" i="34"/>
  <c r="AA593" i="34"/>
  <c r="AA561" i="34"/>
  <c r="AA571" i="34"/>
  <c r="AA579" i="34"/>
  <c r="AA482" i="34"/>
  <c r="AA559" i="34"/>
  <c r="AA703" i="34"/>
  <c r="AA1007" i="34"/>
  <c r="AA1091" i="34"/>
  <c r="AA597" i="34"/>
  <c r="AA514" i="34"/>
  <c r="AA522" i="34"/>
  <c r="AA536" i="34"/>
  <c r="AA615" i="34"/>
  <c r="AA623" i="34"/>
  <c r="AA783" i="34"/>
  <c r="AA167" i="34"/>
  <c r="AA574" i="34"/>
  <c r="AA582" i="34"/>
  <c r="AA588" i="34"/>
  <c r="AA550" i="34"/>
  <c r="AA620" i="34"/>
  <c r="AA776" i="34"/>
  <c r="AA952" i="34"/>
  <c r="AA1089" i="34"/>
  <c r="AA600" i="34"/>
  <c r="AA553" i="34"/>
  <c r="AA1204" i="34"/>
  <c r="AA150" i="34"/>
  <c r="AA505" i="34"/>
  <c r="AA517" i="34"/>
  <c r="AA539" i="34"/>
  <c r="AA622" i="34"/>
  <c r="AA626" i="34"/>
  <c r="AA632" i="34"/>
  <c r="AA962" i="34"/>
  <c r="AA1036" i="34"/>
  <c r="AA1044" i="34"/>
  <c r="AA572" i="34"/>
  <c r="AA580" i="34"/>
  <c r="AA818" i="34"/>
  <c r="AA618" i="34"/>
  <c r="AA982" i="34"/>
  <c r="AA1008" i="34"/>
  <c r="AA603" i="34"/>
  <c r="AA153" i="34"/>
  <c r="AA508" i="34"/>
  <c r="AA520" i="34"/>
  <c r="AA534" i="34"/>
  <c r="AA715" i="34"/>
  <c r="AA807" i="34"/>
  <c r="AA817" i="34"/>
  <c r="AA983" i="34"/>
  <c r="AA1039" i="34"/>
  <c r="AA1047" i="34"/>
  <c r="AA891" i="34"/>
  <c r="AA575" i="34"/>
  <c r="AA583" i="34"/>
  <c r="AA589" i="34"/>
  <c r="AA621" i="34"/>
  <c r="AA777" i="34"/>
  <c r="AA953" i="34"/>
  <c r="AA601" i="34"/>
  <c r="AA554" i="34"/>
  <c r="AA1205" i="34"/>
  <c r="AA151" i="34"/>
  <c r="AA506" i="34"/>
  <c r="AA518" i="34"/>
  <c r="AA540" i="34"/>
  <c r="AA627" i="34"/>
  <c r="AA633" i="34"/>
  <c r="AA713" i="34"/>
  <c r="AA767" i="34"/>
  <c r="AA815" i="34"/>
  <c r="AA1037" i="34"/>
  <c r="AA1003" i="34"/>
  <c r="AA592" i="34"/>
  <c r="AA560" i="34"/>
  <c r="AA570" i="34"/>
  <c r="AA578" i="34"/>
  <c r="AA499" i="34"/>
  <c r="AA702" i="34"/>
  <c r="AA1006" i="34"/>
  <c r="AA1090" i="34"/>
  <c r="AA513" i="34"/>
  <c r="AA521" i="34"/>
  <c r="AA535" i="34"/>
  <c r="AA716" i="34"/>
  <c r="AA808" i="34"/>
  <c r="AA166" i="34"/>
  <c r="AA984" i="34"/>
  <c r="AA1040" i="34"/>
  <c r="AA1048" i="34"/>
  <c r="AA1092" i="34"/>
  <c r="AA590" i="34"/>
  <c r="AA892" i="34"/>
  <c r="AA568" i="34"/>
  <c r="AA576" i="34"/>
  <c r="AA584" i="34"/>
  <c r="AA497" i="34"/>
  <c r="AA954" i="34"/>
  <c r="AA602" i="34"/>
  <c r="AA152" i="34"/>
  <c r="AA507" i="34"/>
  <c r="AA519" i="34"/>
  <c r="AA541" i="34"/>
  <c r="AA628" i="34"/>
  <c r="AA634" i="34"/>
  <c r="AA714" i="34"/>
  <c r="AA768" i="34"/>
  <c r="AA816" i="34"/>
  <c r="AA1038" i="34"/>
  <c r="AA1004" i="34"/>
  <c r="AA1046" i="34"/>
  <c r="AA1082" i="34"/>
  <c r="AA1041" i="34"/>
  <c r="AA1049" i="34"/>
  <c r="AA1107" i="34"/>
  <c r="AA591" i="34"/>
  <c r="AA569" i="34"/>
  <c r="AA577" i="34"/>
  <c r="AA498" i="34"/>
  <c r="AA598" i="34"/>
  <c r="AA551" i="34"/>
  <c r="AA555" i="34"/>
  <c r="AA1202" i="34"/>
  <c r="AA515" i="34"/>
  <c r="AA523" i="34"/>
  <c r="AA537" i="34"/>
  <c r="AA616" i="34"/>
  <c r="AA624" i="34"/>
  <c r="AA784" i="34"/>
  <c r="AA168" i="34"/>
  <c r="AA960" i="34"/>
  <c r="AA1002" i="34"/>
  <c r="AA1042" i="34"/>
  <c r="AA1086" i="34"/>
  <c r="AA1050" i="34"/>
  <c r="AA1045" i="34"/>
  <c r="AA1127" i="34"/>
  <c r="AA573" i="34"/>
  <c r="AA581" i="34"/>
  <c r="AA587" i="34"/>
  <c r="AA861" i="34"/>
  <c r="AA619" i="34"/>
  <c r="AA1009" i="34"/>
  <c r="AA2035" i="34"/>
  <c r="AA3211" i="34"/>
  <c r="AA3210" i="34"/>
  <c r="AA3209" i="34"/>
  <c r="AA119" i="34"/>
  <c r="AA2867" i="34"/>
  <c r="AA2651" i="34"/>
  <c r="AA2601" i="34"/>
  <c r="AA2859" i="34"/>
  <c r="AA2851" i="34"/>
  <c r="AA2843" i="34"/>
  <c r="AA2835" i="34"/>
  <c r="AA2753" i="34"/>
  <c r="AA2747" i="34"/>
  <c r="AA2763" i="34"/>
  <c r="AA2717" i="34"/>
  <c r="AA2587" i="34"/>
  <c r="AA2579" i="34"/>
  <c r="AA2523" i="34"/>
  <c r="AA2543" i="34"/>
  <c r="AA3312" i="34"/>
  <c r="AA3320" i="34"/>
  <c r="AA3118" i="34"/>
  <c r="AA3126" i="34"/>
  <c r="AA3134" i="34"/>
  <c r="AA3142" i="34"/>
  <c r="AA3150" i="34"/>
  <c r="AA3186" i="34"/>
  <c r="AA3194" i="34"/>
  <c r="AA3040" i="34"/>
  <c r="AA3048" i="34"/>
  <c r="AA3056" i="34"/>
  <c r="AA3064" i="34"/>
  <c r="AA3152" i="34"/>
  <c r="AA3162" i="34"/>
  <c r="AA3170" i="34"/>
  <c r="AA3236" i="34"/>
  <c r="AA3228" i="34"/>
  <c r="AA3220" i="34"/>
  <c r="AA3212" i="34"/>
  <c r="AA3176" i="34"/>
  <c r="AA3076" i="34"/>
  <c r="AA3022" i="34"/>
  <c r="AA3008" i="34"/>
  <c r="AA2986" i="34"/>
  <c r="AA3300" i="34"/>
  <c r="AA2765" i="34"/>
  <c r="AA2647" i="34"/>
  <c r="AA2811" i="34"/>
  <c r="AA2605" i="34"/>
  <c r="AA2531" i="34"/>
  <c r="AA2918" i="34"/>
  <c r="AA2767" i="34"/>
  <c r="AA2731" i="34"/>
  <c r="AA2517" i="34"/>
  <c r="AA2511" i="34"/>
  <c r="AA3200" i="34"/>
  <c r="AA3100" i="34"/>
  <c r="AA3108" i="34"/>
  <c r="AA3116" i="34"/>
  <c r="AA3158" i="34"/>
  <c r="AA3246" i="34"/>
  <c r="AA3254" i="34"/>
  <c r="AA3262" i="34"/>
  <c r="AA3270" i="34"/>
  <c r="AA3278" i="34"/>
  <c r="AA2998" i="34"/>
  <c r="AA3208" i="34"/>
  <c r="AA2592" i="34"/>
  <c r="AA2871" i="34"/>
  <c r="AA2816" i="34"/>
  <c r="AA2782" i="34"/>
  <c r="AA2524" i="34"/>
  <c r="AA2915" i="34"/>
  <c r="AA2724" i="34"/>
  <c r="AA2530" i="34"/>
  <c r="AA3161" i="34"/>
  <c r="AA3199" i="34"/>
  <c r="AA3207" i="34"/>
  <c r="AA3099" i="34"/>
  <c r="AA3107" i="34"/>
  <c r="AA3115" i="34"/>
  <c r="AA3157" i="34"/>
  <c r="AA3175" i="34"/>
  <c r="AA3245" i="34"/>
  <c r="AA3253" i="34"/>
  <c r="AA3261" i="34"/>
  <c r="AA3269" i="34"/>
  <c r="AA3277" i="34"/>
  <c r="AA3015" i="34"/>
  <c r="AA2997" i="34"/>
  <c r="AA3085" i="34"/>
  <c r="AA3003" i="34"/>
  <c r="AA3309" i="34"/>
  <c r="AA3295" i="34"/>
  <c r="AA2866" i="34"/>
  <c r="AA2650" i="34"/>
  <c r="AA2600" i="34"/>
  <c r="AA2506" i="34"/>
  <c r="AA2528" i="34"/>
  <c r="AA2975" i="34"/>
  <c r="AA2858" i="34"/>
  <c r="AA2850" i="34"/>
  <c r="AA2842" i="34"/>
  <c r="AA2834" i="34"/>
  <c r="AA2752" i="34"/>
  <c r="AA2746" i="34"/>
  <c r="AA2762" i="34"/>
  <c r="AA2716" i="34"/>
  <c r="AA2586" i="34"/>
  <c r="AA2578" i="34"/>
  <c r="AA2542" i="34"/>
  <c r="AA3317" i="34"/>
  <c r="AA3123" i="34"/>
  <c r="AA3131" i="34"/>
  <c r="AA3139" i="34"/>
  <c r="AA3147" i="34"/>
  <c r="AA3191" i="34"/>
  <c r="AA3287" i="34"/>
  <c r="AA3241" i="34"/>
  <c r="AA3037" i="34"/>
  <c r="AA3045" i="34"/>
  <c r="AA3053" i="34"/>
  <c r="AA3061" i="34"/>
  <c r="AA3069" i="34"/>
  <c r="AA2863" i="34"/>
  <c r="AA2793" i="34"/>
  <c r="AA2537" i="34"/>
  <c r="AA2595" i="34"/>
  <c r="AA2503" i="34"/>
  <c r="AA2972" i="34"/>
  <c r="AA2855" i="34"/>
  <c r="AA2847" i="34"/>
  <c r="AA2839" i="34"/>
  <c r="AA2739" i="34"/>
  <c r="AA2583" i="34"/>
  <c r="AA2575" i="34"/>
  <c r="AA3316" i="34"/>
  <c r="AA3122" i="34"/>
  <c r="AA3130" i="34"/>
  <c r="AA3138" i="34"/>
  <c r="AA3146" i="34"/>
  <c r="AA3190" i="34"/>
  <c r="AA3286" i="34"/>
  <c r="AA2982" i="34"/>
  <c r="AA3028" i="34"/>
  <c r="AA3365" i="34"/>
  <c r="AA3044" i="34"/>
  <c r="AA3052" i="34"/>
  <c r="AA3060" i="34"/>
  <c r="AA3068" i="34"/>
  <c r="AA3166" i="34"/>
  <c r="AA3174" i="34"/>
  <c r="AA3240" i="34"/>
  <c r="AA3232" i="34"/>
  <c r="AA3224" i="34"/>
  <c r="AA3216" i="34"/>
  <c r="AA3180" i="34"/>
  <c r="AA3080" i="34"/>
  <c r="AA3072" i="34"/>
  <c r="AA3018" i="34"/>
  <c r="AA3012" i="34"/>
  <c r="AA3304" i="34"/>
  <c r="AA2815" i="34"/>
  <c r="AA2781" i="34"/>
  <c r="AA2535" i="34"/>
  <c r="AA2469" i="34"/>
  <c r="AA2723" i="34"/>
  <c r="AA2529" i="34"/>
  <c r="AA3196" i="34"/>
  <c r="AA3204" i="34"/>
  <c r="AA3322" i="34"/>
  <c r="AA3096" i="34"/>
  <c r="AA3104" i="34"/>
  <c r="AA3112" i="34"/>
  <c r="AA3250" i="34"/>
  <c r="AA3258" i="34"/>
  <c r="AA3266" i="34"/>
  <c r="AA3274" i="34"/>
  <c r="AA3282" i="34"/>
  <c r="AA2984" i="34"/>
  <c r="AA2990" i="34"/>
  <c r="AA2648" i="34"/>
  <c r="AA2812" i="34"/>
  <c r="AA2606" i="34"/>
  <c r="AA2590" i="34"/>
  <c r="AA2538" i="34"/>
  <c r="AA2532" i="34"/>
  <c r="AA2919" i="34"/>
  <c r="AA2732" i="34"/>
  <c r="AA2512" i="34"/>
  <c r="AA3203" i="34"/>
  <c r="AA3095" i="34"/>
  <c r="AA3103" i="34"/>
  <c r="AA3111" i="34"/>
  <c r="AA3249" i="34"/>
  <c r="AA3257" i="34"/>
  <c r="AA3265" i="34"/>
  <c r="AA3273" i="34"/>
  <c r="AA3281" i="34"/>
  <c r="AA2993" i="34"/>
  <c r="AA3089" i="34"/>
  <c r="AA3031" i="34"/>
  <c r="AA2999" i="34"/>
  <c r="AA3291" i="34"/>
  <c r="AA2870" i="34"/>
  <c r="AA2862" i="34"/>
  <c r="AA2792" i="34"/>
  <c r="AA2536" i="34"/>
  <c r="AA2594" i="34"/>
  <c r="AA2971" i="34"/>
  <c r="AA2854" i="34"/>
  <c r="AA2846" i="34"/>
  <c r="AA2838" i="34"/>
  <c r="AA2582" i="34"/>
  <c r="AA2574" i="34"/>
  <c r="AA3313" i="34"/>
  <c r="AA3321" i="34"/>
  <c r="AA3119" i="34"/>
  <c r="AA3127" i="34"/>
  <c r="AA3135" i="34"/>
  <c r="AA3143" i="34"/>
  <c r="AA3151" i="34"/>
  <c r="AA3187" i="34"/>
  <c r="AA3195" i="34"/>
  <c r="AA3029" i="34"/>
  <c r="AA3041" i="34"/>
  <c r="AA3049" i="34"/>
  <c r="AA3057" i="34"/>
  <c r="AA3065" i="34"/>
  <c r="AA3153" i="34"/>
  <c r="AA3163" i="34"/>
  <c r="AA3088" i="34"/>
  <c r="AA3298" i="34"/>
  <c r="AA3290" i="34"/>
  <c r="AA2869" i="34"/>
  <c r="AA2789" i="34"/>
  <c r="AA2795" i="34"/>
  <c r="AA2593" i="34"/>
  <c r="AA2861" i="34"/>
  <c r="AA2853" i="34"/>
  <c r="AA2845" i="34"/>
  <c r="AA2837" i="34"/>
  <c r="AA2589" i="34"/>
  <c r="AA2581" i="34"/>
  <c r="AA2573" i="34"/>
  <c r="AA2545" i="34"/>
  <c r="AA3318" i="34"/>
  <c r="AA3036" i="34"/>
  <c r="AA3124" i="34"/>
  <c r="AA3132" i="34"/>
  <c r="AA3140" i="34"/>
  <c r="AA3148" i="34"/>
  <c r="AA3184" i="34"/>
  <c r="AA3192" i="34"/>
  <c r="AA3288" i="34"/>
  <c r="AA3242" i="34"/>
  <c r="AA3038" i="34"/>
  <c r="AA3046" i="34"/>
  <c r="AA3054" i="34"/>
  <c r="AA3062" i="34"/>
  <c r="AA3070" i="34"/>
  <c r="AA3168" i="34"/>
  <c r="AA3238" i="34"/>
  <c r="AA3230" i="34"/>
  <c r="AA3222" i="34"/>
  <c r="AA3214" i="34"/>
  <c r="AA3178" i="34"/>
  <c r="AA3078" i="34"/>
  <c r="AA3024" i="34"/>
  <c r="AA3016" i="34"/>
  <c r="AA3010" i="34"/>
  <c r="AA2988" i="34"/>
  <c r="AA3302" i="34"/>
  <c r="AA2787" i="34"/>
  <c r="AA2801" i="34"/>
  <c r="AA2799" i="34"/>
  <c r="AA2591" i="34"/>
  <c r="AA2539" i="34"/>
  <c r="AA2533" i="34"/>
  <c r="AA2920" i="34"/>
  <c r="AA2733" i="34"/>
  <c r="AA3160" i="34"/>
  <c r="AA3198" i="34"/>
  <c r="AA3206" i="34"/>
  <c r="AA3098" i="34"/>
  <c r="AA3106" i="34"/>
  <c r="AA3114" i="34"/>
  <c r="AA3156" i="34"/>
  <c r="AA3167" i="34"/>
  <c r="AA3235" i="34"/>
  <c r="AA3227" i="34"/>
  <c r="AA3219" i="34"/>
  <c r="AA3183" i="34"/>
  <c r="AA3083" i="34"/>
  <c r="AA3075" i="34"/>
  <c r="AA3021" i="34"/>
  <c r="AA3007" i="34"/>
  <c r="AA2985" i="34"/>
  <c r="AA2654" i="34"/>
  <c r="AA2604" i="34"/>
  <c r="AA2526" i="34"/>
  <c r="AA2917" i="34"/>
  <c r="AA2766" i="34"/>
  <c r="AA2730" i="34"/>
  <c r="AA2516" i="34"/>
  <c r="AA2522" i="34"/>
  <c r="AA3159" i="34"/>
  <c r="AA3197" i="34"/>
  <c r="AA3205" i="34"/>
  <c r="AA3097" i="34"/>
  <c r="AA3105" i="34"/>
  <c r="AA3113" i="34"/>
  <c r="AA3251" i="34"/>
  <c r="AA3259" i="34"/>
  <c r="AA3267" i="34"/>
  <c r="AA3275" i="34"/>
  <c r="AA3283" i="34"/>
  <c r="AA2991" i="34"/>
  <c r="AA3087" i="34"/>
  <c r="AA3005" i="34"/>
  <c r="AA3311" i="34"/>
  <c r="AA3297" i="34"/>
  <c r="AA3289" i="34"/>
  <c r="AA2868" i="34"/>
  <c r="AA2652" i="34"/>
  <c r="AA2794" i="34"/>
  <c r="AA2860" i="34"/>
  <c r="AA2852" i="34"/>
  <c r="AA2844" i="34"/>
  <c r="AA2836" i="34"/>
  <c r="AA2748" i="34"/>
  <c r="AA2764" i="34"/>
  <c r="AA2718" i="34"/>
  <c r="AA2588" i="34"/>
  <c r="AA2580" i="34"/>
  <c r="AA2572" i="34"/>
  <c r="AA2544" i="34"/>
  <c r="AA3315" i="34"/>
  <c r="AA2995" i="34"/>
  <c r="AA3121" i="34"/>
  <c r="AA3129" i="34"/>
  <c r="AA3137" i="34"/>
  <c r="AA3145" i="34"/>
  <c r="AA3092" i="34"/>
  <c r="AA3084" i="34"/>
  <c r="AA3034" i="34"/>
  <c r="AA3002" i="34"/>
  <c r="AA3308" i="34"/>
  <c r="AA3294" i="34"/>
  <c r="AA2521" i="34"/>
  <c r="AA2865" i="34"/>
  <c r="AA2661" i="34"/>
  <c r="AA2791" i="34"/>
  <c r="AA2599" i="34"/>
  <c r="AA2597" i="34"/>
  <c r="AA2505" i="34"/>
  <c r="AA2527" i="34"/>
  <c r="AA2974" i="34"/>
  <c r="AA2857" i="34"/>
  <c r="AA2849" i="34"/>
  <c r="AA2841" i="34"/>
  <c r="AA2833" i="34"/>
  <c r="AA2751" i="34"/>
  <c r="AA2741" i="34"/>
  <c r="AA2585" i="34"/>
  <c r="AA2577" i="34"/>
  <c r="AA2541" i="34"/>
  <c r="AA3314" i="34"/>
  <c r="AA3120" i="34"/>
  <c r="AA3128" i="34"/>
  <c r="AA3136" i="34"/>
  <c r="AA3144" i="34"/>
  <c r="AA3188" i="34"/>
  <c r="AA3284" i="34"/>
  <c r="AA3006" i="34"/>
  <c r="AA3026" i="34"/>
  <c r="AA3363" i="34"/>
  <c r="AA3030" i="34"/>
  <c r="AA3042" i="34"/>
  <c r="AA3050" i="34"/>
  <c r="AA3058" i="34"/>
  <c r="AA3066" i="34"/>
  <c r="AA3154" i="34"/>
  <c r="AA3164" i="34"/>
  <c r="AA3172" i="34"/>
  <c r="AA2994" i="34"/>
  <c r="AA3234" i="34"/>
  <c r="AA3226" i="34"/>
  <c r="AA3218" i="34"/>
  <c r="AA3182" i="34"/>
  <c r="AA3082" i="34"/>
  <c r="AA3074" i="34"/>
  <c r="AA3020" i="34"/>
  <c r="AA3306" i="34"/>
  <c r="AA2872" i="34"/>
  <c r="AA2603" i="34"/>
  <c r="AA2525" i="34"/>
  <c r="AA2916" i="34"/>
  <c r="AA2729" i="34"/>
  <c r="AA2515" i="34"/>
  <c r="AA3202" i="34"/>
  <c r="AA3094" i="34"/>
  <c r="AA3102" i="34"/>
  <c r="AA3110" i="34"/>
  <c r="AA3171" i="34"/>
  <c r="AA3239" i="34"/>
  <c r="AA3231" i="34"/>
  <c r="AA3223" i="34"/>
  <c r="AA3215" i="34"/>
  <c r="AA3179" i="34"/>
  <c r="AA3079" i="34"/>
  <c r="AA3025" i="34"/>
  <c r="AA3017" i="34"/>
  <c r="AA3011" i="34"/>
  <c r="AA2989" i="34"/>
  <c r="AA3303" i="34"/>
  <c r="AA2802" i="34"/>
  <c r="AA2800" i="34"/>
  <c r="AA2534" i="34"/>
  <c r="AA2921" i="34"/>
  <c r="AA2734" i="34"/>
  <c r="AA2722" i="34"/>
  <c r="AA3201" i="34"/>
  <c r="AA3093" i="34"/>
  <c r="AA3101" i="34"/>
  <c r="AA3109" i="34"/>
  <c r="AA3117" i="34"/>
  <c r="AA3247" i="34"/>
  <c r="AA3255" i="34"/>
  <c r="AA3263" i="34"/>
  <c r="AA3271" i="34"/>
  <c r="AA3279" i="34"/>
  <c r="AA3091" i="34"/>
  <c r="AA3033" i="34"/>
  <c r="AA3001" i="34"/>
  <c r="AA3293" i="34"/>
  <c r="AA2864" i="34"/>
  <c r="AA2660" i="34"/>
  <c r="AA2790" i="34"/>
  <c r="AA2598" i="34"/>
  <c r="AA2596" i="34"/>
  <c r="AA2504" i="34"/>
  <c r="AA2973" i="34"/>
  <c r="AA2856" i="34"/>
  <c r="AA2848" i="34"/>
  <c r="AA2840" i="34"/>
  <c r="AA2832" i="34"/>
  <c r="AA2740" i="34"/>
  <c r="AA2584" i="34"/>
  <c r="AA2576" i="34"/>
  <c r="AA2540" i="34"/>
  <c r="AA3307" i="34"/>
  <c r="AA3319" i="34"/>
  <c r="AA3125" i="34"/>
  <c r="AA3133" i="34"/>
  <c r="AA3141" i="34"/>
  <c r="AA3149" i="34"/>
  <c r="AA3185" i="34"/>
  <c r="AA3189" i="34"/>
  <c r="AA3285" i="34"/>
  <c r="AA3299" i="34"/>
  <c r="AA3027" i="34"/>
  <c r="AA3043" i="34"/>
  <c r="AA3051" i="34"/>
  <c r="AA3059" i="34"/>
  <c r="AA3067" i="34"/>
  <c r="AA3155" i="34"/>
  <c r="AA3165" i="34"/>
  <c r="AA3173" i="34"/>
  <c r="AA3035" i="34"/>
  <c r="AA3237" i="34"/>
  <c r="AA3229" i="34"/>
  <c r="AA3221" i="34"/>
  <c r="AA3213" i="34"/>
  <c r="AA3177" i="34"/>
  <c r="AA3077" i="34"/>
  <c r="AA3023" i="34"/>
  <c r="AA3009" i="34"/>
  <c r="AA2987" i="34"/>
  <c r="AA3301" i="34"/>
  <c r="AA3248" i="34"/>
  <c r="AA3256" i="34"/>
  <c r="AA3264" i="34"/>
  <c r="AA3272" i="34"/>
  <c r="AA3280" i="34"/>
  <c r="AA3364" i="34"/>
  <c r="AA2992" i="34"/>
  <c r="AA3086" i="34"/>
  <c r="AA3004" i="34"/>
  <c r="AA3310" i="34"/>
  <c r="AA3296" i="34"/>
  <c r="AA3193" i="34"/>
  <c r="AA2983" i="34"/>
  <c r="AA3013" i="34"/>
  <c r="AA3039" i="34"/>
  <c r="AA3047" i="34"/>
  <c r="AA3055" i="34"/>
  <c r="AA3063" i="34"/>
  <c r="AA3071" i="34"/>
  <c r="AA3169" i="34"/>
  <c r="AA3233" i="34"/>
  <c r="AA3225" i="34"/>
  <c r="AA3217" i="34"/>
  <c r="AA3181" i="34"/>
  <c r="AA3081" i="34"/>
  <c r="AA3073" i="34"/>
  <c r="AA3019" i="34"/>
  <c r="AA3305" i="34"/>
  <c r="AA3244" i="34"/>
  <c r="AA3252" i="34"/>
  <c r="AA3260" i="34"/>
  <c r="AA3268" i="34"/>
  <c r="AA3276" i="34"/>
  <c r="AA2996" i="34"/>
  <c r="AA3090" i="34"/>
  <c r="AA3032" i="34"/>
  <c r="AA3014" i="34"/>
  <c r="AA3000" i="34"/>
  <c r="AA3292" i="34"/>
  <c r="AA3361" i="34"/>
  <c r="AA2390" i="34"/>
  <c r="AA2388" i="34"/>
  <c r="AA2451" i="34"/>
  <c r="AA2418" i="34"/>
  <c r="AA2416" i="34"/>
  <c r="AA2351" i="34"/>
  <c r="AA2391" i="34"/>
  <c r="AA2385" i="34"/>
  <c r="AA2349" i="34"/>
  <c r="AA2414" i="34"/>
  <c r="AA2350" i="34"/>
  <c r="AA2386" i="34"/>
  <c r="AA2352" i="34"/>
  <c r="AA2950" i="34"/>
  <c r="AA2393" i="34"/>
  <c r="AA2419" i="34"/>
  <c r="AA2383" i="34"/>
  <c r="AA2417" i="34"/>
  <c r="AA2415" i="34"/>
  <c r="AA2389" i="34"/>
  <c r="AA2387" i="34"/>
  <c r="AA2727" i="34"/>
  <c r="AA2477" i="34"/>
  <c r="AA2368" i="34"/>
  <c r="AA2316" i="34"/>
  <c r="AA2370" i="34"/>
  <c r="AA2555" i="34"/>
  <c r="AA2238" i="34"/>
  <c r="AA2439" i="34"/>
  <c r="AA2248" i="34"/>
  <c r="AA2362" i="34"/>
  <c r="AA1500" i="34"/>
  <c r="AA2068" i="34"/>
  <c r="AA2150" i="34"/>
  <c r="AA2673" i="34"/>
  <c r="AA2769" i="34"/>
  <c r="AA2829" i="34"/>
  <c r="AA2459" i="34"/>
  <c r="AA2910" i="34"/>
  <c r="AA2551" i="34"/>
  <c r="AA2613" i="34"/>
  <c r="AA2621" i="34"/>
  <c r="AA2635" i="34"/>
  <c r="AA2657" i="34"/>
  <c r="AA2394" i="34"/>
  <c r="AA2402" i="34"/>
  <c r="AA2408" i="34"/>
  <c r="AA2433" i="34"/>
  <c r="AA2457" i="34"/>
  <c r="AA2906" i="34"/>
  <c r="AA2932" i="34"/>
  <c r="AA2956" i="34"/>
  <c r="AA2497" i="34"/>
  <c r="AA2447" i="34"/>
  <c r="AA2282" i="34"/>
  <c r="AA2290" i="34"/>
  <c r="AA2232" i="34"/>
  <c r="AA2268" i="34"/>
  <c r="AA2276" i="34"/>
  <c r="AA1087" i="34"/>
  <c r="AA1163" i="34"/>
  <c r="AA1370" i="34"/>
  <c r="AA1661" i="34"/>
  <c r="AA1671" i="34"/>
  <c r="AA1723" i="34"/>
  <c r="AA2126" i="34"/>
  <c r="AA2208" i="34"/>
  <c r="AA2775" i="34"/>
  <c r="AA2465" i="34"/>
  <c r="AA2320" i="34"/>
  <c r="AA2374" i="34"/>
  <c r="AA2559" i="34"/>
  <c r="AA3360" i="34"/>
  <c r="AA2244" i="34"/>
  <c r="AA2270" i="34"/>
  <c r="AA2026" i="34"/>
  <c r="AA2567" i="34"/>
  <c r="AA2662" i="34"/>
  <c r="AA2624" i="34"/>
  <c r="AA2432" i="34"/>
  <c r="AA2935" i="34"/>
  <c r="AA2450" i="34"/>
  <c r="AA2446" i="34"/>
  <c r="AA2267" i="34"/>
  <c r="AA2279" i="34"/>
  <c r="AA2566" i="34"/>
  <c r="AA2682" i="34"/>
  <c r="AA2686" i="34"/>
  <c r="AA2776" i="34"/>
  <c r="AA2967" i="34"/>
  <c r="AA2466" i="34"/>
  <c r="AA2478" i="34"/>
  <c r="AA2486" i="34"/>
  <c r="AA2630" i="34"/>
  <c r="AA2321" i="34"/>
  <c r="AA2375" i="34"/>
  <c r="AA2492" i="34"/>
  <c r="AA2658" i="34"/>
  <c r="AA2901" i="34"/>
  <c r="AA2945" i="34"/>
  <c r="AA2560" i="34"/>
  <c r="AA2452" i="34"/>
  <c r="AA2235" i="34"/>
  <c r="AA2454" i="34"/>
  <c r="AA2343" i="34"/>
  <c r="AA2249" i="34"/>
  <c r="AA2257" i="34"/>
  <c r="AA2295" i="34"/>
  <c r="AA2307" i="34"/>
  <c r="AA2355" i="34"/>
  <c r="AA2363" i="34"/>
  <c r="AA1024" i="34"/>
  <c r="AA1078" i="34"/>
  <c r="AA1942" i="34"/>
  <c r="AA1515" i="34"/>
  <c r="AA1993" i="34"/>
  <c r="AA2065" i="34"/>
  <c r="AA2155" i="34"/>
  <c r="AA2676" i="34"/>
  <c r="AA2913" i="34"/>
  <c r="AA2546" i="34"/>
  <c r="AA2616" i="34"/>
  <c r="AA2397" i="34"/>
  <c r="AA2610" i="34"/>
  <c r="AA2281" i="34"/>
  <c r="AA2227" i="34"/>
  <c r="AA2263" i="34"/>
  <c r="AA2121" i="34"/>
  <c r="AA2664" i="34"/>
  <c r="AA2670" i="34"/>
  <c r="AA2565" i="34"/>
  <c r="AA2681" i="34"/>
  <c r="AA2970" i="34"/>
  <c r="AA2485" i="34"/>
  <c r="AA2424" i="34"/>
  <c r="AA2382" i="34"/>
  <c r="AA2491" i="34"/>
  <c r="AA2342" i="34"/>
  <c r="AA2298" i="34"/>
  <c r="AA2310" i="34"/>
  <c r="AA1077" i="34"/>
  <c r="AA1992" i="34"/>
  <c r="AA2663" i="34"/>
  <c r="AA2669" i="34"/>
  <c r="AA2689" i="34"/>
  <c r="AA2749" i="34"/>
  <c r="AA2825" i="34"/>
  <c r="AA2914" i="34"/>
  <c r="AA2547" i="34"/>
  <c r="AA2617" i="34"/>
  <c r="AA2625" i="34"/>
  <c r="AA2398" i="34"/>
  <c r="AA2234" i="34"/>
  <c r="AA2404" i="34"/>
  <c r="AA2412" i="34"/>
  <c r="AA2437" i="34"/>
  <c r="AA2936" i="34"/>
  <c r="AA2952" i="34"/>
  <c r="AA2960" i="34"/>
  <c r="AA2493" i="34"/>
  <c r="AA2501" i="34"/>
  <c r="AA3362" i="34"/>
  <c r="AA2286" i="34"/>
  <c r="AA2420" i="34"/>
  <c r="AA2264" i="34"/>
  <c r="AA2272" i="34"/>
  <c r="AA1167" i="34"/>
  <c r="AA1703" i="34"/>
  <c r="AA2096" i="34"/>
  <c r="AA2122" i="34"/>
  <c r="AA2174" i="34"/>
  <c r="AA2204" i="34"/>
  <c r="AA2212" i="34"/>
  <c r="AA2481" i="34"/>
  <c r="AA2428" i="34"/>
  <c r="AA2445" i="34"/>
  <c r="AA2948" i="34"/>
  <c r="AA2519" i="34"/>
  <c r="AA2328" i="34"/>
  <c r="AA2346" i="34"/>
  <c r="AA2302" i="34"/>
  <c r="AA2314" i="34"/>
  <c r="AA1023" i="34"/>
  <c r="AA2571" i="34"/>
  <c r="AA2744" i="34"/>
  <c r="AA2909" i="34"/>
  <c r="AA2612" i="34"/>
  <c r="AA2899" i="34"/>
  <c r="AA2955" i="34"/>
  <c r="AA2496" i="34"/>
  <c r="AA2285" i="34"/>
  <c r="AA1166" i="34"/>
  <c r="AA1373" i="34"/>
  <c r="AA1702" i="34"/>
  <c r="AA2570" i="34"/>
  <c r="AA2678" i="34"/>
  <c r="AA2728" i="34"/>
  <c r="AA2462" i="34"/>
  <c r="AA2474" i="34"/>
  <c r="AA2482" i="34"/>
  <c r="AA2490" i="34"/>
  <c r="AA2425" i="34"/>
  <c r="AA2429" i="34"/>
  <c r="AA2317" i="34"/>
  <c r="AA2325" i="34"/>
  <c r="AA2371" i="34"/>
  <c r="AA2379" i="34"/>
  <c r="AA2520" i="34"/>
  <c r="AA2510" i="34"/>
  <c r="AA2556" i="34"/>
  <c r="AA2564" i="34"/>
  <c r="AA2239" i="34"/>
  <c r="AA2329" i="34"/>
  <c r="AA2335" i="34"/>
  <c r="AA2339" i="34"/>
  <c r="AA2347" i="34"/>
  <c r="AA2440" i="34"/>
  <c r="AA2241" i="34"/>
  <c r="AA2245" i="34"/>
  <c r="AA2253" i="34"/>
  <c r="AA2299" i="34"/>
  <c r="AA2353" i="34"/>
  <c r="AA2303" i="34"/>
  <c r="AA2311" i="34"/>
  <c r="AA2359" i="34"/>
  <c r="AA1234" i="34"/>
  <c r="AA1395" i="34"/>
  <c r="AA1475" i="34"/>
  <c r="AA1989" i="34"/>
  <c r="AA2061" i="34"/>
  <c r="AA2151" i="34"/>
  <c r="AA2668" i="34"/>
  <c r="AA2768" i="34"/>
  <c r="AA2828" i="34"/>
  <c r="AA2628" i="34"/>
  <c r="AA2634" i="34"/>
  <c r="AA2411" i="34"/>
  <c r="AA2931" i="34"/>
  <c r="AA2963" i="34"/>
  <c r="AA2289" i="34"/>
  <c r="AA1160" i="34"/>
  <c r="AA1242" i="34"/>
  <c r="AA1469" i="34"/>
  <c r="AA1660" i="34"/>
  <c r="AA1722" i="34"/>
  <c r="AA2173" i="34"/>
  <c r="AA2207" i="34"/>
  <c r="AA2674" i="34"/>
  <c r="AA2679" i="34"/>
  <c r="AA2817" i="34"/>
  <c r="AA2964" i="34"/>
  <c r="AA2463" i="34"/>
  <c r="AA2475" i="34"/>
  <c r="AA2483" i="34"/>
  <c r="AA2318" i="34"/>
  <c r="AA2326" i="34"/>
  <c r="AA2372" i="34"/>
  <c r="AA2380" i="34"/>
  <c r="AA2745" i="34"/>
  <c r="AA2557" i="34"/>
  <c r="AA2228" i="34"/>
  <c r="AA2336" i="34"/>
  <c r="AA2340" i="34"/>
  <c r="AA2348" i="34"/>
  <c r="AA2441" i="34"/>
  <c r="AA2242" i="34"/>
  <c r="AA2260" i="34"/>
  <c r="AA2246" i="34"/>
  <c r="AA2254" i="34"/>
  <c r="AA2300" i="34"/>
  <c r="AA2354" i="34"/>
  <c r="AA2304" i="34"/>
  <c r="AA2312" i="34"/>
  <c r="AA2360" i="34"/>
  <c r="AA1075" i="34"/>
  <c r="AA1235" i="34"/>
  <c r="AA1396" i="34"/>
  <c r="AA1484" i="34"/>
  <c r="AA1727" i="34"/>
  <c r="AA1990" i="34"/>
  <c r="AA2062" i="34"/>
  <c r="AA2152" i="34"/>
  <c r="AA2685" i="34"/>
  <c r="AA2473" i="34"/>
  <c r="AA2230" i="34"/>
  <c r="AA2256" i="34"/>
  <c r="AA2294" i="34"/>
  <c r="AA2306" i="34"/>
  <c r="AA1085" i="34"/>
  <c r="AA1233" i="34"/>
  <c r="AA2154" i="34"/>
  <c r="AA2659" i="34"/>
  <c r="AA2671" i="34"/>
  <c r="AA2759" i="34"/>
  <c r="AA2827" i="34"/>
  <c r="AA2908" i="34"/>
  <c r="AA2549" i="34"/>
  <c r="AA2611" i="34"/>
  <c r="AA2619" i="34"/>
  <c r="AA2627" i="34"/>
  <c r="AA2633" i="34"/>
  <c r="AA2400" i="34"/>
  <c r="AA2406" i="34"/>
  <c r="AA2431" i="34"/>
  <c r="AA2898" i="34"/>
  <c r="AA2742" i="34"/>
  <c r="AA2822" i="34"/>
  <c r="AA2830" i="34"/>
  <c r="AA2911" i="34"/>
  <c r="AA2552" i="34"/>
  <c r="AA2614" i="34"/>
  <c r="AA2622" i="34"/>
  <c r="AA2636" i="34"/>
  <c r="AA2395" i="34"/>
  <c r="AA2403" i="34"/>
  <c r="AA2426" i="34"/>
  <c r="AA2409" i="34"/>
  <c r="AA2434" i="34"/>
  <c r="AA2608" i="34"/>
  <c r="AA2933" i="34"/>
  <c r="AA2957" i="34"/>
  <c r="AA2498" i="34"/>
  <c r="AA2949" i="34"/>
  <c r="AA2331" i="34"/>
  <c r="AA2448" i="34"/>
  <c r="AA2283" i="34"/>
  <c r="AA2291" i="34"/>
  <c r="AA2269" i="34"/>
  <c r="AA2277" i="34"/>
  <c r="AA1158" i="34"/>
  <c r="AA1164" i="34"/>
  <c r="AA1371" i="34"/>
  <c r="AA1467" i="34"/>
  <c r="AA1662" i="34"/>
  <c r="AA1672" i="34"/>
  <c r="AA2119" i="34"/>
  <c r="AA2127" i="34"/>
  <c r="AA2209" i="34"/>
  <c r="AA2688" i="34"/>
  <c r="AA2824" i="34"/>
  <c r="AA2458" i="34"/>
  <c r="AA2550" i="34"/>
  <c r="AA2620" i="34"/>
  <c r="AA2638" i="34"/>
  <c r="AA2407" i="34"/>
  <c r="AA2905" i="34"/>
  <c r="AA2125" i="34"/>
  <c r="AA2211" i="34"/>
  <c r="AA2680" i="34"/>
  <c r="AA2684" i="34"/>
  <c r="AA2818" i="34"/>
  <c r="AA2965" i="34"/>
  <c r="AA2464" i="34"/>
  <c r="AA2476" i="34"/>
  <c r="AA2484" i="34"/>
  <c r="AA2423" i="34"/>
  <c r="AA2319" i="34"/>
  <c r="AA2373" i="34"/>
  <c r="AA2381" i="34"/>
  <c r="AA2444" i="34"/>
  <c r="AA2683" i="34"/>
  <c r="AA2725" i="34"/>
  <c r="AA2968" i="34"/>
  <c r="AA2467" i="34"/>
  <c r="AA2479" i="34"/>
  <c r="AA2487" i="34"/>
  <c r="AA2513" i="34"/>
  <c r="AA2631" i="34"/>
  <c r="AA2366" i="34"/>
  <c r="AA2322" i="34"/>
  <c r="AA2376" i="34"/>
  <c r="AA2471" i="34"/>
  <c r="AA2946" i="34"/>
  <c r="AA2553" i="34"/>
  <c r="AA2561" i="34"/>
  <c r="AA2222" i="34"/>
  <c r="AA2236" i="34"/>
  <c r="AA2455" i="34"/>
  <c r="AA2344" i="34"/>
  <c r="AA2250" i="34"/>
  <c r="AA2258" i="34"/>
  <c r="AA2296" i="34"/>
  <c r="AA2308" i="34"/>
  <c r="AA2356" i="34"/>
  <c r="AA2364" i="34"/>
  <c r="AA1083" i="34"/>
  <c r="AA1231" i="34"/>
  <c r="AA1994" i="34"/>
  <c r="AA2066" i="34"/>
  <c r="AA2156" i="34"/>
  <c r="AA2569" i="34"/>
  <c r="AA2966" i="34"/>
  <c r="AA2489" i="34"/>
  <c r="AA2443" i="34"/>
  <c r="AA2324" i="34"/>
  <c r="AA2378" i="34"/>
  <c r="AA2944" i="34"/>
  <c r="AA2509" i="34"/>
  <c r="AA2563" i="34"/>
  <c r="AA2334" i="34"/>
  <c r="AA2453" i="34"/>
  <c r="AA2338" i="34"/>
  <c r="AA2392" i="34"/>
  <c r="AA2252" i="34"/>
  <c r="AA2358" i="34"/>
  <c r="AA1398" i="34"/>
  <c r="AA2064" i="34"/>
  <c r="AA2667" i="34"/>
  <c r="AA2675" i="34"/>
  <c r="AA2687" i="34"/>
  <c r="AA2743" i="34"/>
  <c r="AA2823" i="34"/>
  <c r="AA2831" i="34"/>
  <c r="AA2912" i="34"/>
  <c r="AA2615" i="34"/>
  <c r="AA2623" i="34"/>
  <c r="AA2637" i="34"/>
  <c r="AA2396" i="34"/>
  <c r="AA2410" i="34"/>
  <c r="AA2435" i="34"/>
  <c r="AA2609" i="34"/>
  <c r="AA2758" i="34"/>
  <c r="AA2750" i="34"/>
  <c r="AA2826" i="34"/>
  <c r="AA2907" i="34"/>
  <c r="AA2548" i="34"/>
  <c r="AA2618" i="34"/>
  <c r="AA2626" i="34"/>
  <c r="AA2399" i="34"/>
  <c r="AA2430" i="34"/>
  <c r="AA2271" i="34"/>
  <c r="AA2405" i="34"/>
  <c r="AA2413" i="34"/>
  <c r="AA2438" i="34"/>
  <c r="AA2897" i="34"/>
  <c r="AA2903" i="34"/>
  <c r="AA2929" i="34"/>
  <c r="AA2937" i="34"/>
  <c r="AA2953" i="34"/>
  <c r="AA2961" i="34"/>
  <c r="AA2494" i="34"/>
  <c r="AA2502" i="34"/>
  <c r="AA2259" i="34"/>
  <c r="AA2287" i="34"/>
  <c r="AA2421" i="34"/>
  <c r="AA2265" i="34"/>
  <c r="AA2273" i="34"/>
  <c r="AA1574" i="34"/>
  <c r="AA1720" i="34"/>
  <c r="AA2123" i="34"/>
  <c r="AA2175" i="34"/>
  <c r="AA2205" i="34"/>
  <c r="AA2672" i="34"/>
  <c r="AA2401" i="34"/>
  <c r="AA2436" i="34"/>
  <c r="AA2959" i="34"/>
  <c r="AA2500" i="34"/>
  <c r="AA2231" i="34"/>
  <c r="AA2275" i="34"/>
  <c r="AA1670" i="34"/>
  <c r="AA2203" i="34"/>
  <c r="AA2568" i="34"/>
  <c r="AA2726" i="34"/>
  <c r="AA2969" i="34"/>
  <c r="AA2468" i="34"/>
  <c r="AA2480" i="34"/>
  <c r="AA2488" i="34"/>
  <c r="AA2514" i="34"/>
  <c r="AA2367" i="34"/>
  <c r="AA2427" i="34"/>
  <c r="AA2442" i="34"/>
  <c r="AA2315" i="34"/>
  <c r="AA2323" i="34"/>
  <c r="AA2369" i="34"/>
  <c r="AA2377" i="34"/>
  <c r="AA2472" i="34"/>
  <c r="AA2947" i="34"/>
  <c r="AA2518" i="34"/>
  <c r="AA2554" i="34"/>
  <c r="AA2562" i="34"/>
  <c r="AA2223" i="34"/>
  <c r="AA2951" i="34"/>
  <c r="AA2237" i="34"/>
  <c r="AA2327" i="34"/>
  <c r="AA2333" i="34"/>
  <c r="AA2345" i="34"/>
  <c r="AA2251" i="34"/>
  <c r="AA2297" i="34"/>
  <c r="AA2233" i="34"/>
  <c r="AA2309" i="34"/>
  <c r="AA2357" i="34"/>
  <c r="AA2365" i="34"/>
  <c r="AA1084" i="34"/>
  <c r="AA1232" i="34"/>
  <c r="AA1499" i="34"/>
  <c r="AA1754" i="34"/>
  <c r="AA1995" i="34"/>
  <c r="AA2067" i="34"/>
  <c r="AA2149" i="34"/>
  <c r="AA1966" i="34"/>
  <c r="AA1964" i="34"/>
  <c r="AA1972" i="34"/>
  <c r="AA2904" i="34"/>
  <c r="AA2930" i="34"/>
  <c r="AA2954" i="34"/>
  <c r="AA2962" i="34"/>
  <c r="AA2495" i="34"/>
  <c r="AA2280" i="34"/>
  <c r="AA2288" i="34"/>
  <c r="AA2384" i="34"/>
  <c r="AA2422" i="34"/>
  <c r="AA2266" i="34"/>
  <c r="AA2274" i="34"/>
  <c r="AA1659" i="34"/>
  <c r="AA1721" i="34"/>
  <c r="AA2124" i="34"/>
  <c r="AA2206" i="34"/>
  <c r="AA1961" i="34"/>
  <c r="AA1969" i="34"/>
  <c r="AA1963" i="34"/>
  <c r="AA1971" i="34"/>
  <c r="AA2943" i="34"/>
  <c r="AA2558" i="34"/>
  <c r="AA2229" i="34"/>
  <c r="AA2337" i="34"/>
  <c r="AA2341" i="34"/>
  <c r="AA2243" i="34"/>
  <c r="AA2261" i="34"/>
  <c r="AA2247" i="34"/>
  <c r="AA2255" i="34"/>
  <c r="AA2293" i="34"/>
  <c r="AA2301" i="34"/>
  <c r="AA2305" i="34"/>
  <c r="AA2313" i="34"/>
  <c r="AA2361" i="34"/>
  <c r="AA1076" i="34"/>
  <c r="AA1397" i="34"/>
  <c r="AA1991" i="34"/>
  <c r="AA2063" i="34"/>
  <c r="AA2153" i="34"/>
  <c r="AA1962" i="34"/>
  <c r="AA1970" i="34"/>
  <c r="AA1968" i="34"/>
  <c r="AA2934" i="34"/>
  <c r="AA2958" i="34"/>
  <c r="AA2499" i="34"/>
  <c r="AA2507" i="34"/>
  <c r="AA2449" i="34"/>
  <c r="AA2284" i="34"/>
  <c r="AA2292" i="34"/>
  <c r="AA2226" i="34"/>
  <c r="AA2262" i="34"/>
  <c r="AA2278" i="34"/>
  <c r="AA1159" i="34"/>
  <c r="AA1165" i="34"/>
  <c r="AA1241" i="34"/>
  <c r="AA1372" i="34"/>
  <c r="AA1468" i="34"/>
  <c r="AA1663" i="34"/>
  <c r="AA1673" i="34"/>
  <c r="AA2120" i="34"/>
  <c r="AA2172" i="34"/>
  <c r="AA2202" i="34"/>
  <c r="AA2210" i="34"/>
  <c r="AA1965" i="34"/>
  <c r="AA1973" i="34"/>
  <c r="AA1967" i="34"/>
  <c r="AA2926" i="34"/>
  <c r="AA3334" i="34"/>
  <c r="AA2879" i="34"/>
  <c r="AA2922" i="34"/>
  <c r="AA2809" i="34"/>
  <c r="AA2761" i="34"/>
  <c r="AA2693" i="34"/>
  <c r="AA2118" i="34"/>
  <c r="AA2144" i="34"/>
  <c r="AA1955" i="34"/>
  <c r="AA1655" i="34"/>
  <c r="AA1685" i="34"/>
  <c r="AA1753" i="34"/>
  <c r="AA1482" i="34"/>
  <c r="AA2088" i="34"/>
  <c r="AA2036" i="34"/>
  <c r="AA2006" i="34"/>
  <c r="AA1621" i="34"/>
  <c r="AA1595" i="34"/>
  <c r="AA1561" i="34"/>
  <c r="AA1543" i="34"/>
  <c r="AA1340" i="34"/>
  <c r="AA1131" i="34"/>
  <c r="AA991" i="34"/>
  <c r="AA937" i="34"/>
  <c r="AA1145" i="34"/>
  <c r="AA359" i="34"/>
  <c r="AA466" i="34"/>
  <c r="AA987" i="34"/>
  <c r="AA1013" i="34"/>
  <c r="AA1055" i="34"/>
  <c r="AA65" i="34"/>
  <c r="AA78" i="34"/>
  <c r="AA84" i="34"/>
  <c r="AA650" i="34"/>
  <c r="AA697" i="34"/>
  <c r="AA3344" i="34"/>
  <c r="AA3352" i="34"/>
  <c r="AA2224" i="34"/>
  <c r="AA2938" i="34"/>
  <c r="AA2880" i="34"/>
  <c r="AA2888" i="34"/>
  <c r="AA2803" i="34"/>
  <c r="AA2807" i="34"/>
  <c r="AA2785" i="34"/>
  <c r="AA2200" i="34"/>
  <c r="AA1019" i="34"/>
  <c r="AA2166" i="34"/>
  <c r="AA2060" i="34"/>
  <c r="AA1227" i="34"/>
  <c r="AA1342" i="34"/>
  <c r="AA1191" i="34"/>
  <c r="AA1199" i="34"/>
  <c r="AA1001" i="34"/>
  <c r="AA2076" i="34"/>
  <c r="AA2018" i="34"/>
  <c r="AA2010" i="34"/>
  <c r="AA1747" i="34"/>
  <c r="AA1605" i="34"/>
  <c r="AA1261" i="34"/>
  <c r="AA1101" i="34"/>
  <c r="AA925" i="34"/>
  <c r="AA1111" i="34"/>
  <c r="AA1209" i="34"/>
  <c r="AA629" i="34"/>
  <c r="AA641" i="34"/>
  <c r="AA651" i="34"/>
  <c r="AA655" i="34"/>
  <c r="AA663" i="34"/>
  <c r="AA677" i="34"/>
  <c r="AA685" i="34"/>
  <c r="AA709" i="34"/>
  <c r="AA751" i="34"/>
  <c r="AA2928" i="34"/>
  <c r="AA3324" i="34"/>
  <c r="AA3328" i="34"/>
  <c r="AA3336" i="34"/>
  <c r="AA2873" i="34"/>
  <c r="AA2890" i="34"/>
  <c r="AA899" i="34"/>
  <c r="AA2711" i="34"/>
  <c r="AA2112" i="34"/>
  <c r="AA2146" i="34"/>
  <c r="AA1653" i="34"/>
  <c r="AA1948" i="34"/>
  <c r="AA1380" i="34"/>
  <c r="AA1073" i="34"/>
  <c r="AA1015" i="34"/>
  <c r="AA2090" i="34"/>
  <c r="AA2038" i="34"/>
  <c r="AA2000" i="34"/>
  <c r="AA1563" i="34"/>
  <c r="AA1545" i="34"/>
  <c r="AA1133" i="34"/>
  <c r="AA1059" i="34"/>
  <c r="AA993" i="34"/>
  <c r="AA939" i="34"/>
  <c r="AA1143" i="34"/>
  <c r="AA955" i="34"/>
  <c r="AA985" i="34"/>
  <c r="AA1011" i="34"/>
  <c r="AA1053" i="34"/>
  <c r="AA76" i="34"/>
  <c r="AA82" i="34"/>
  <c r="AA157" i="34"/>
  <c r="AA695" i="34"/>
  <c r="AA737" i="34"/>
  <c r="AA3338" i="34"/>
  <c r="AA3346" i="34"/>
  <c r="AA3354" i="34"/>
  <c r="AA2976" i="34"/>
  <c r="AA3325" i="34"/>
  <c r="AA2940" i="34"/>
  <c r="AA2882" i="34"/>
  <c r="AA2805" i="34"/>
  <c r="AA2771" i="34"/>
  <c r="AA897" i="34"/>
  <c r="AA3339" i="34"/>
  <c r="AA3347" i="34"/>
  <c r="AA3355" i="34"/>
  <c r="AA2977" i="34"/>
  <c r="AA3326" i="34"/>
  <c r="AA2941" i="34"/>
  <c r="AA2883" i="34"/>
  <c r="AA2195" i="34"/>
  <c r="AA1022" i="34"/>
  <c r="AA2169" i="34"/>
  <c r="AA2059" i="34"/>
  <c r="AA1341" i="34"/>
  <c r="AA1190" i="34"/>
  <c r="AA1198" i="34"/>
  <c r="AA1000" i="34"/>
  <c r="AA2073" i="34"/>
  <c r="AA2015" i="34"/>
  <c r="AA1744" i="34"/>
  <c r="AA1602" i="34"/>
  <c r="AA1098" i="34"/>
  <c r="AA922" i="34"/>
  <c r="AA1110" i="34"/>
  <c r="AA1208" i="34"/>
  <c r="AA640" i="34"/>
  <c r="AA654" i="34"/>
  <c r="AA662" i="34"/>
  <c r="AA676" i="34"/>
  <c r="AA684" i="34"/>
  <c r="AA692" i="34"/>
  <c r="AA708" i="34"/>
  <c r="AA720" i="34"/>
  <c r="AA750" i="34"/>
  <c r="AA2927" i="34"/>
  <c r="AA3323" i="34"/>
  <c r="AA3335" i="34"/>
  <c r="AA2876" i="34"/>
  <c r="AA2810" i="34"/>
  <c r="AA898" i="34"/>
  <c r="AA2710" i="34"/>
  <c r="AA2145" i="34"/>
  <c r="AA2025" i="34"/>
  <c r="AA1652" i="34"/>
  <c r="AA1947" i="34"/>
  <c r="AA1379" i="34"/>
  <c r="AA1072" i="34"/>
  <c r="AA1068" i="34"/>
  <c r="AA2043" i="34"/>
  <c r="AA2005" i="34"/>
  <c r="AA1594" i="34"/>
  <c r="AA1560" i="34"/>
  <c r="AA1542" i="34"/>
  <c r="AA1365" i="34"/>
  <c r="AA1138" i="34"/>
  <c r="AA1064" i="34"/>
  <c r="AA990" i="34"/>
  <c r="AA944" i="34"/>
  <c r="AA1142" i="34"/>
  <c r="AA862" i="34"/>
  <c r="AA914" i="34"/>
  <c r="AA1010" i="34"/>
  <c r="AA75" i="34"/>
  <c r="AA156" i="34"/>
  <c r="AA170" i="34"/>
  <c r="AA694" i="34"/>
  <c r="AA736" i="34"/>
  <c r="AA3341" i="34"/>
  <c r="AA3349" i="34"/>
  <c r="AA3357" i="34"/>
  <c r="AA2456" i="34"/>
  <c r="AA2979" i="34"/>
  <c r="AA2881" i="34"/>
  <c r="AA2885" i="34"/>
  <c r="AA2644" i="34"/>
  <c r="AA2197" i="34"/>
  <c r="AA2171" i="34"/>
  <c r="AA2057" i="34"/>
  <c r="AA2095" i="34"/>
  <c r="AA1700" i="34"/>
  <c r="AA1952" i="34"/>
  <c r="AA1156" i="34"/>
  <c r="AA1196" i="34"/>
  <c r="AA998" i="34"/>
  <c r="AA2075" i="34"/>
  <c r="AA2017" i="34"/>
  <c r="AA2009" i="34"/>
  <c r="AA1746" i="34"/>
  <c r="AA1604" i="34"/>
  <c r="AA1260" i="34"/>
  <c r="AA1100" i="34"/>
  <c r="AA924" i="34"/>
  <c r="AA1052" i="34"/>
  <c r="AA1108" i="34"/>
  <c r="AA1116" i="34"/>
  <c r="AA354" i="34"/>
  <c r="AA364" i="34"/>
  <c r="AA906" i="34"/>
  <c r="AA638" i="34"/>
  <c r="AA656" i="34"/>
  <c r="AA664" i="34"/>
  <c r="AA682" i="34"/>
  <c r="AA690" i="34"/>
  <c r="AA706" i="34"/>
  <c r="AA718" i="34"/>
  <c r="AA744" i="34"/>
  <c r="AA3329" i="34"/>
  <c r="AA3337" i="34"/>
  <c r="AA2874" i="34"/>
  <c r="AA2470" i="34"/>
  <c r="AA2756" i="34"/>
  <c r="AA2891" i="34"/>
  <c r="AA3359" i="34"/>
  <c r="AA3330" i="34"/>
  <c r="AA2896" i="34"/>
  <c r="AA2875" i="34"/>
  <c r="AA2757" i="34"/>
  <c r="AA2892" i="34"/>
  <c r="AA1189" i="34"/>
  <c r="AA2713" i="34"/>
  <c r="AA2114" i="34"/>
  <c r="AA2148" i="34"/>
  <c r="AA2192" i="34"/>
  <c r="AA1988" i="34"/>
  <c r="AA1651" i="34"/>
  <c r="AA1378" i="34"/>
  <c r="AA1348" i="34"/>
  <c r="AA1071" i="34"/>
  <c r="AA2140" i="34"/>
  <c r="AA1067" i="34"/>
  <c r="AA2138" i="34"/>
  <c r="AA2092" i="34"/>
  <c r="AA2040" i="34"/>
  <c r="AA2002" i="34"/>
  <c r="AA1591" i="34"/>
  <c r="AA1557" i="34"/>
  <c r="AA1547" i="34"/>
  <c r="AA1135" i="34"/>
  <c r="AA1061" i="34"/>
  <c r="AA995" i="34"/>
  <c r="AA979" i="34"/>
  <c r="AA941" i="34"/>
  <c r="AA1141" i="34"/>
  <c r="AA913" i="34"/>
  <c r="AA69" i="34"/>
  <c r="AA74" i="34"/>
  <c r="AA169" i="34"/>
  <c r="AA735" i="34"/>
  <c r="AA3340" i="34"/>
  <c r="AA3348" i="34"/>
  <c r="AA3356" i="34"/>
  <c r="AA2978" i="34"/>
  <c r="AA2942" i="34"/>
  <c r="AA2884" i="34"/>
  <c r="AA2643" i="34"/>
  <c r="AA2461" i="34"/>
  <c r="AA2196" i="34"/>
  <c r="AA2641" i="34"/>
  <c r="AA2170" i="34"/>
  <c r="AA2056" i="34"/>
  <c r="AA1514" i="34"/>
  <c r="AA1699" i="34"/>
  <c r="AA1951" i="34"/>
  <c r="AA1940" i="34"/>
  <c r="AA1149" i="34"/>
  <c r="AA1155" i="34"/>
  <c r="AA1195" i="34"/>
  <c r="AA997" i="34"/>
  <c r="AA2080" i="34"/>
  <c r="AA2014" i="34"/>
  <c r="AA1743" i="34"/>
  <c r="AA1601" i="34"/>
  <c r="AA1097" i="34"/>
  <c r="AA929" i="34"/>
  <c r="AA921" i="34"/>
  <c r="AA1081" i="34"/>
  <c r="AA1115" i="34"/>
  <c r="AA353" i="34"/>
  <c r="AA363" i="34"/>
  <c r="AA1207" i="34"/>
  <c r="AA71" i="34"/>
  <c r="AA637" i="34"/>
  <c r="AA659" i="34"/>
  <c r="AA681" i="34"/>
  <c r="AA689" i="34"/>
  <c r="AA717" i="34"/>
  <c r="AA743" i="34"/>
  <c r="AA2924" i="34"/>
  <c r="AA3332" i="34"/>
  <c r="AA2877" i="34"/>
  <c r="AA2894" i="34"/>
  <c r="AA2691" i="34"/>
  <c r="AA2116" i="34"/>
  <c r="AA2142" i="34"/>
  <c r="AA2194" i="34"/>
  <c r="AA1573" i="34"/>
  <c r="AA1657" i="34"/>
  <c r="AA1346" i="34"/>
  <c r="AA1368" i="34"/>
  <c r="AA1941" i="34"/>
  <c r="AA1069" i="34"/>
  <c r="AA903" i="34"/>
  <c r="AA2094" i="34"/>
  <c r="AA2042" i="34"/>
  <c r="AA2004" i="34"/>
  <c r="AA1593" i="34"/>
  <c r="AA1559" i="34"/>
  <c r="AA1553" i="34"/>
  <c r="AA1541" i="34"/>
  <c r="AA1364" i="34"/>
  <c r="AA1137" i="34"/>
  <c r="AA1063" i="34"/>
  <c r="AA989" i="34"/>
  <c r="AA943" i="34"/>
  <c r="AA1151" i="34"/>
  <c r="AA1147" i="34"/>
  <c r="AA1057" i="34"/>
  <c r="AA67" i="34"/>
  <c r="AA733" i="34"/>
  <c r="AA3342" i="34"/>
  <c r="AA3350" i="34"/>
  <c r="AA3358" i="34"/>
  <c r="AA2240" i="34"/>
  <c r="AA2980" i="34"/>
  <c r="AA2878" i="34"/>
  <c r="AA2886" i="34"/>
  <c r="AA2645" i="34"/>
  <c r="AA2198" i="34"/>
  <c r="AA1017" i="34"/>
  <c r="AA3343" i="34"/>
  <c r="AA3351" i="34"/>
  <c r="AA2225" i="34"/>
  <c r="AA2981" i="34"/>
  <c r="AA2887" i="34"/>
  <c r="AA2646" i="34"/>
  <c r="AA2806" i="34"/>
  <c r="AA2199" i="34"/>
  <c r="AA1018" i="34"/>
  <c r="AA2055" i="34"/>
  <c r="AA2111" i="34"/>
  <c r="AA1698" i="34"/>
  <c r="AA1950" i="34"/>
  <c r="AA1288" i="34"/>
  <c r="AA1939" i="34"/>
  <c r="AA1148" i="34"/>
  <c r="AA1154" i="34"/>
  <c r="AA1194" i="34"/>
  <c r="AA2077" i="34"/>
  <c r="AA2011" i="34"/>
  <c r="AA1748" i="34"/>
  <c r="AA1938" i="34"/>
  <c r="AA1377" i="34"/>
  <c r="AA1094" i="34"/>
  <c r="AA926" i="34"/>
  <c r="AA918" i="34"/>
  <c r="AA1080" i="34"/>
  <c r="AA1114" i="34"/>
  <c r="AA1140" i="34"/>
  <c r="AA352" i="34"/>
  <c r="AA1206" i="34"/>
  <c r="AA606" i="34"/>
  <c r="AA636" i="34"/>
  <c r="AA658" i="34"/>
  <c r="AA680" i="34"/>
  <c r="AA688" i="34"/>
  <c r="AA712" i="34"/>
  <c r="AA742" i="34"/>
  <c r="AA2923" i="34"/>
  <c r="AA3327" i="34"/>
  <c r="AA3331" i="34"/>
  <c r="AA2893" i="34"/>
  <c r="AA2690" i="34"/>
  <c r="AA2115" i="34"/>
  <c r="AA2141" i="34"/>
  <c r="AA2193" i="34"/>
  <c r="AA1656" i="34"/>
  <c r="AA1686" i="34"/>
  <c r="AA1367" i="34"/>
  <c r="AA1483" i="34"/>
  <c r="AA2137" i="34"/>
  <c r="AA2091" i="34"/>
  <c r="AA2039" i="34"/>
  <c r="AA2001" i="34"/>
  <c r="AA1590" i="34"/>
  <c r="AA1556" i="34"/>
  <c r="AA1546" i="34"/>
  <c r="AA1134" i="34"/>
  <c r="AA1060" i="34"/>
  <c r="AA994" i="34"/>
  <c r="AA940" i="34"/>
  <c r="AA904" i="34"/>
  <c r="AA1150" i="34"/>
  <c r="AA1146" i="34"/>
  <c r="AA1014" i="34"/>
  <c r="AA1056" i="34"/>
  <c r="AA66" i="34"/>
  <c r="AA79" i="34"/>
  <c r="AA698" i="34"/>
  <c r="AA732" i="34"/>
  <c r="AA3345" i="34"/>
  <c r="AA3353" i="34"/>
  <c r="AA2939" i="34"/>
  <c r="AA2889" i="34"/>
  <c r="AA2804" i="34"/>
  <c r="AA2770" i="34"/>
  <c r="AA2808" i="34"/>
  <c r="AA2786" i="34"/>
  <c r="AA2201" i="34"/>
  <c r="AA1020" i="34"/>
  <c r="AA2167" i="34"/>
  <c r="AA2053" i="34"/>
  <c r="AA1696" i="34"/>
  <c r="AA1228" i="34"/>
  <c r="AA1152" i="34"/>
  <c r="AA1192" i="34"/>
  <c r="AA1200" i="34"/>
  <c r="AA2079" i="34"/>
  <c r="AA2013" i="34"/>
  <c r="AA1742" i="34"/>
  <c r="AA1600" i="34"/>
  <c r="AA1096" i="34"/>
  <c r="AA928" i="34"/>
  <c r="AA920" i="34"/>
  <c r="AA1112" i="34"/>
  <c r="AA1210" i="34"/>
  <c r="AA72" i="34"/>
  <c r="AA604" i="34"/>
  <c r="AA630" i="34"/>
  <c r="AA642" i="34"/>
  <c r="AA652" i="34"/>
  <c r="AA660" i="34"/>
  <c r="AA678" i="34"/>
  <c r="AA686" i="34"/>
  <c r="AA710" i="34"/>
  <c r="AA752" i="34"/>
  <c r="AA2925" i="34"/>
  <c r="AA3333" i="34"/>
  <c r="AA2760" i="34"/>
  <c r="AA2895" i="34"/>
  <c r="AA1021" i="34"/>
  <c r="AA2168" i="34"/>
  <c r="AA2054" i="34"/>
  <c r="AA2110" i="34"/>
  <c r="AA1697" i="34"/>
  <c r="AA1949" i="34"/>
  <c r="AA1287" i="34"/>
  <c r="AA1153" i="34"/>
  <c r="AA1193" i="34"/>
  <c r="AA1201" i="34"/>
  <c r="AA2074" i="34"/>
  <c r="AA2016" i="34"/>
  <c r="AA2008" i="34"/>
  <c r="AA1745" i="34"/>
  <c r="AA1603" i="34"/>
  <c r="AA1259" i="34"/>
  <c r="AA1099" i="34"/>
  <c r="AA923" i="34"/>
  <c r="AA1079" i="34"/>
  <c r="AA1113" i="34"/>
  <c r="AA1161" i="34"/>
  <c r="AA1211" i="34"/>
  <c r="AA605" i="34"/>
  <c r="AA635" i="34"/>
  <c r="AA657" i="34"/>
  <c r="AA665" i="34"/>
  <c r="AA679" i="34"/>
  <c r="AA687" i="34"/>
  <c r="AA711" i="34"/>
  <c r="AA1980" i="34"/>
  <c r="AA1957" i="34"/>
  <c r="AA2712" i="34"/>
  <c r="AA2113" i="34"/>
  <c r="AA2147" i="34"/>
  <c r="AA2191" i="34"/>
  <c r="AA1654" i="34"/>
  <c r="AA1230" i="34"/>
  <c r="AA1481" i="34"/>
  <c r="AA1074" i="34"/>
  <c r="AA1016" i="34"/>
  <c r="AA2139" i="34"/>
  <c r="AA2093" i="34"/>
  <c r="AA2041" i="34"/>
  <c r="AA2003" i="34"/>
  <c r="AA1592" i="34"/>
  <c r="AA1558" i="34"/>
  <c r="AA1552" i="34"/>
  <c r="AA1535" i="34"/>
  <c r="AA1363" i="34"/>
  <c r="AA1136" i="34"/>
  <c r="AA1062" i="34"/>
  <c r="AA996" i="34"/>
  <c r="AA988" i="34"/>
  <c r="AA942" i="34"/>
  <c r="AA1128" i="34"/>
  <c r="AA1144" i="34"/>
  <c r="AA1162" i="34"/>
  <c r="AA358" i="34"/>
  <c r="AA956" i="34"/>
  <c r="AA986" i="34"/>
  <c r="AA1012" i="34"/>
  <c r="AA1054" i="34"/>
  <c r="AA77" i="34"/>
  <c r="AA83" i="34"/>
  <c r="AA158" i="34"/>
  <c r="AA649" i="34"/>
  <c r="AA696" i="34"/>
  <c r="AA738" i="34"/>
  <c r="AA1983" i="34"/>
  <c r="AA1981" i="34"/>
  <c r="AA1960" i="34"/>
  <c r="AA1958" i="34"/>
  <c r="AA1956" i="34"/>
  <c r="AA2058" i="34"/>
  <c r="AA1649" i="34"/>
  <c r="AA1701" i="34"/>
  <c r="AA1953" i="34"/>
  <c r="AA1157" i="34"/>
  <c r="AA1197" i="34"/>
  <c r="AA999" i="34"/>
  <c r="AA2078" i="34"/>
  <c r="AA2012" i="34"/>
  <c r="AA1095" i="34"/>
  <c r="AA927" i="34"/>
  <c r="AA919" i="34"/>
  <c r="AA1109" i="34"/>
  <c r="AA907" i="34"/>
  <c r="AA639" i="34"/>
  <c r="AA653" i="34"/>
  <c r="AA661" i="34"/>
  <c r="AA683" i="34"/>
  <c r="AA691" i="34"/>
  <c r="AA707" i="34"/>
  <c r="AA719" i="34"/>
  <c r="AA749" i="34"/>
  <c r="AA893" i="34"/>
  <c r="AA1984" i="34"/>
  <c r="AA1982" i="34"/>
  <c r="AA1959" i="34"/>
  <c r="AA2692" i="34"/>
  <c r="AA2117" i="34"/>
  <c r="AA2143" i="34"/>
  <c r="AA1954" i="34"/>
  <c r="AA1658" i="34"/>
  <c r="AA1347" i="34"/>
  <c r="AA1369" i="34"/>
  <c r="AA1070" i="34"/>
  <c r="AA2089" i="34"/>
  <c r="AA2037" i="34"/>
  <c r="AA1999" i="34"/>
  <c r="AA1622" i="34"/>
  <c r="AA1596" i="34"/>
  <c r="AA1562" i="34"/>
  <c r="AA1544" i="34"/>
  <c r="AA1132" i="34"/>
  <c r="AA992" i="34"/>
  <c r="AA938" i="34"/>
  <c r="AA447" i="34"/>
  <c r="AA1058" i="34"/>
  <c r="AA68" i="34"/>
  <c r="AA73" i="34"/>
  <c r="AA734" i="34"/>
  <c r="AA1985" i="34"/>
  <c r="AA147" i="34"/>
  <c r="AA481" i="34"/>
  <c r="AA165" i="34"/>
  <c r="AA890" i="34"/>
  <c r="AA110" i="34"/>
  <c r="AA771" i="34"/>
  <c r="AA762" i="34"/>
  <c r="AA93" i="34"/>
  <c r="AA105" i="34"/>
  <c r="AA788" i="34"/>
  <c r="AA450" i="34"/>
  <c r="AA431" i="34"/>
  <c r="AA64" i="34"/>
  <c r="AA669" i="34"/>
  <c r="AA332" i="34"/>
  <c r="AA207" i="34"/>
  <c r="AA401" i="34"/>
  <c r="AA243" i="34"/>
  <c r="AA235" i="34"/>
  <c r="AA350" i="34"/>
  <c r="AA319" i="34"/>
  <c r="AA250" i="34"/>
  <c r="AA284" i="34"/>
  <c r="AA825" i="34"/>
  <c r="AA833" i="34"/>
  <c r="AA839" i="34"/>
  <c r="AA933" i="34"/>
  <c r="AA963" i="34"/>
  <c r="AA1025" i="34"/>
  <c r="AA1532" i="34"/>
  <c r="AA1539" i="34"/>
  <c r="AA1729" i="34"/>
  <c r="AA2032" i="34"/>
  <c r="AA98" i="34"/>
  <c r="AA112" i="34"/>
  <c r="AA763" i="34"/>
  <c r="AA197" i="34"/>
  <c r="AA254" i="34"/>
  <c r="AA789" i="34"/>
  <c r="AA795" i="34"/>
  <c r="AA371" i="34"/>
  <c r="AA139" i="34"/>
  <c r="AA272" i="34"/>
  <c r="AA343" i="34"/>
  <c r="AA335" i="34"/>
  <c r="AA701" i="34"/>
  <c r="AA847" i="34"/>
  <c r="AA855" i="34"/>
  <c r="AA867" i="34"/>
  <c r="AA2218" i="34"/>
  <c r="AA1536" i="34"/>
  <c r="AA1623" i="34"/>
  <c r="AA63" i="34"/>
  <c r="AA131" i="34"/>
  <c r="AA502" i="34"/>
  <c r="AA524" i="34"/>
  <c r="AA286" i="34"/>
  <c r="AA813" i="34"/>
  <c r="AA727" i="34"/>
  <c r="AA779" i="34"/>
  <c r="AA915" i="34"/>
  <c r="AA181" i="34"/>
  <c r="AA185" i="34"/>
  <c r="AA228" i="34"/>
  <c r="AA232" i="34"/>
  <c r="AA302" i="34"/>
  <c r="AA308" i="34"/>
  <c r="AA375" i="34"/>
  <c r="AA393" i="34"/>
  <c r="AA221" i="34"/>
  <c r="AA611" i="34"/>
  <c r="AA675" i="34"/>
  <c r="AA819" i="34"/>
  <c r="AA827" i="34"/>
  <c r="AA835" i="34"/>
  <c r="AA837" i="34"/>
  <c r="AA1998" i="34"/>
  <c r="AA935" i="34"/>
  <c r="AA965" i="34"/>
  <c r="AA1093" i="34"/>
  <c r="AA1476" i="34"/>
  <c r="AA1731" i="34"/>
  <c r="AA100" i="34"/>
  <c r="AA114" i="34"/>
  <c r="AA753" i="34"/>
  <c r="AA765" i="34"/>
  <c r="AA532" i="34"/>
  <c r="AA791" i="34"/>
  <c r="AA755" i="34"/>
  <c r="AA797" i="34"/>
  <c r="AA141" i="34"/>
  <c r="AA229" i="34"/>
  <c r="AA266" i="34"/>
  <c r="AA274" i="34"/>
  <c r="AA345" i="34"/>
  <c r="AA337" i="34"/>
  <c r="AA613" i="34"/>
  <c r="AA693" i="34"/>
  <c r="AA2070" i="34"/>
  <c r="AA2084" i="34"/>
  <c r="AA2214" i="34"/>
  <c r="AA2216" i="34"/>
  <c r="AA849" i="34"/>
  <c r="AA857" i="34"/>
  <c r="AA869" i="34"/>
  <c r="AA1534" i="34"/>
  <c r="AA1169" i="34"/>
  <c r="AA1589" i="34"/>
  <c r="AA92" i="34"/>
  <c r="AA106" i="34"/>
  <c r="AA133" i="34"/>
  <c r="AA757" i="34"/>
  <c r="AA769" i="34"/>
  <c r="AA452" i="34"/>
  <c r="AA494" i="34"/>
  <c r="AA288" i="34"/>
  <c r="AA86" i="34"/>
  <c r="AA729" i="34"/>
  <c r="AA949" i="34"/>
  <c r="AA304" i="34"/>
  <c r="AA326" i="34"/>
  <c r="AA361" i="34"/>
  <c r="AA377" i="34"/>
  <c r="AA395" i="34"/>
  <c r="AA2071" i="34"/>
  <c r="AA2081" i="34"/>
  <c r="AA2219" i="34"/>
  <c r="AA1564" i="34"/>
  <c r="AA842" i="34"/>
  <c r="AA850" i="34"/>
  <c r="AA858" i="34"/>
  <c r="AA870" i="34"/>
  <c r="AA1170" i="34"/>
  <c r="AA2027" i="34"/>
  <c r="AA107" i="34"/>
  <c r="AA134" i="34"/>
  <c r="AA758" i="34"/>
  <c r="AA770" i="34"/>
  <c r="AA453" i="34"/>
  <c r="AA495" i="34"/>
  <c r="AA549" i="34"/>
  <c r="AA87" i="34"/>
  <c r="AA730" i="34"/>
  <c r="AA879" i="34"/>
  <c r="AA446" i="34"/>
  <c r="AA231" i="34"/>
  <c r="AA327" i="34"/>
  <c r="AA378" i="34"/>
  <c r="AA396" i="34"/>
  <c r="AA283" i="34"/>
  <c r="AA826" i="34"/>
  <c r="AA834" i="34"/>
  <c r="AA840" i="34"/>
  <c r="AA1997" i="34"/>
  <c r="AA934" i="34"/>
  <c r="AA964" i="34"/>
  <c r="AA1540" i="34"/>
  <c r="AA1730" i="34"/>
  <c r="AA99" i="34"/>
  <c r="AA113" i="34"/>
  <c r="AA127" i="34"/>
  <c r="AA764" i="34"/>
  <c r="AA531" i="34"/>
  <c r="AA198" i="34"/>
  <c r="AA790" i="34"/>
  <c r="AA880" i="34"/>
  <c r="AA796" i="34"/>
  <c r="AA372" i="34"/>
  <c r="AA467" i="34"/>
  <c r="AA140" i="34"/>
  <c r="AA175" i="34"/>
  <c r="AA273" i="34"/>
  <c r="AA344" i="34"/>
  <c r="AA844" i="34"/>
  <c r="AA852" i="34"/>
  <c r="AA864" i="34"/>
  <c r="AA872" i="34"/>
  <c r="AA1533" i="34"/>
  <c r="AA2213" i="34"/>
  <c r="AA1554" i="34"/>
  <c r="AA1584" i="34"/>
  <c r="AA2029" i="34"/>
  <c r="AA109" i="34"/>
  <c r="AA128" i="34"/>
  <c r="AA160" i="34"/>
  <c r="AA760" i="34"/>
  <c r="AA455" i="34"/>
  <c r="AA89" i="34"/>
  <c r="AA810" i="34"/>
  <c r="AA814" i="34"/>
  <c r="AA976" i="34"/>
  <c r="AA485" i="34"/>
  <c r="AA329" i="34"/>
  <c r="AA398" i="34"/>
  <c r="AA820" i="34"/>
  <c r="AA828" i="34"/>
  <c r="AA836" i="34"/>
  <c r="AA838" i="34"/>
  <c r="AA894" i="34"/>
  <c r="AA900" i="34"/>
  <c r="AA936" i="34"/>
  <c r="AA966" i="34"/>
  <c r="AA101" i="34"/>
  <c r="AA115" i="34"/>
  <c r="AA125" i="34"/>
  <c r="AA527" i="34"/>
  <c r="AA792" i="34"/>
  <c r="AA756" i="34"/>
  <c r="AA142" i="34"/>
  <c r="AA183" i="34"/>
  <c r="AA226" i="34"/>
  <c r="AA267" i="34"/>
  <c r="AA251" i="34"/>
  <c r="AA614" i="34"/>
  <c r="AA821" i="34"/>
  <c r="AA829" i="34"/>
  <c r="AA895" i="34"/>
  <c r="AA1516" i="34"/>
  <c r="AA901" i="34"/>
  <c r="AA1575" i="34"/>
  <c r="AA1625" i="34"/>
  <c r="AA595" i="34"/>
  <c r="AA94" i="34"/>
  <c r="AA102" i="34"/>
  <c r="AA116" i="34"/>
  <c r="AA126" i="34"/>
  <c r="AA785" i="34"/>
  <c r="AA528" i="34"/>
  <c r="AA793" i="34"/>
  <c r="AA909" i="34"/>
  <c r="AA959" i="34"/>
  <c r="AA135" i="34"/>
  <c r="AA143" i="34"/>
  <c r="AA180" i="34"/>
  <c r="AA268" i="34"/>
  <c r="AA367" i="34"/>
  <c r="AA339" i="34"/>
  <c r="AA643" i="34"/>
  <c r="AA645" i="34"/>
  <c r="AA2072" i="34"/>
  <c r="AA2082" i="34"/>
  <c r="AA2220" i="34"/>
  <c r="AA843" i="34"/>
  <c r="AA851" i="34"/>
  <c r="AA859" i="34"/>
  <c r="AA871" i="34"/>
  <c r="AA1583" i="34"/>
  <c r="AA2028" i="34"/>
  <c r="AA2034" i="34"/>
  <c r="AA108" i="34"/>
  <c r="AA159" i="34"/>
  <c r="AA759" i="34"/>
  <c r="AA454" i="34"/>
  <c r="AA88" i="34"/>
  <c r="AA809" i="34"/>
  <c r="AA731" i="34"/>
  <c r="AA975" i="34"/>
  <c r="AA328" i="34"/>
  <c r="AA397" i="34"/>
  <c r="AA336" i="34"/>
  <c r="AA666" i="34"/>
  <c r="AA646" i="34"/>
  <c r="AA823" i="34"/>
  <c r="AA831" i="34"/>
  <c r="AA931" i="34"/>
  <c r="AA1537" i="34"/>
  <c r="AA2020" i="34"/>
  <c r="AA96" i="34"/>
  <c r="AA104" i="34"/>
  <c r="AA122" i="34"/>
  <c r="AA773" i="34"/>
  <c r="AA252" i="34"/>
  <c r="AA741" i="34"/>
  <c r="AA781" i="34"/>
  <c r="AA387" i="34"/>
  <c r="AA137" i="34"/>
  <c r="AA176" i="34"/>
  <c r="AA182" i="34"/>
  <c r="AA225" i="34"/>
  <c r="AA270" i="34"/>
  <c r="AA369" i="34"/>
  <c r="AA429" i="34"/>
  <c r="AA306" i="34"/>
  <c r="AA349" i="34"/>
  <c r="AA647" i="34"/>
  <c r="AA699" i="34"/>
  <c r="AA845" i="34"/>
  <c r="AA853" i="34"/>
  <c r="AA865" i="34"/>
  <c r="AA1996" i="34"/>
  <c r="AA1555" i="34"/>
  <c r="AA1749" i="34"/>
  <c r="AA2030" i="34"/>
  <c r="AA129" i="34"/>
  <c r="AA161" i="34"/>
  <c r="AA761" i="34"/>
  <c r="AA510" i="34"/>
  <c r="AA90" i="34"/>
  <c r="AA811" i="34"/>
  <c r="AA745" i="34"/>
  <c r="AA905" i="34"/>
  <c r="AA977" i="34"/>
  <c r="AA486" i="34"/>
  <c r="AA230" i="34"/>
  <c r="AA300" i="34"/>
  <c r="AA399" i="34"/>
  <c r="AA322" i="34"/>
  <c r="AA609" i="34"/>
  <c r="AA846" i="34"/>
  <c r="AA854" i="34"/>
  <c r="AA866" i="34"/>
  <c r="AA2217" i="34"/>
  <c r="AA2007" i="34"/>
  <c r="AA130" i="34"/>
  <c r="AA171" i="34"/>
  <c r="AA511" i="34"/>
  <c r="AA812" i="34"/>
  <c r="AA746" i="34"/>
  <c r="AA778" i="34"/>
  <c r="AA184" i="34"/>
  <c r="AA227" i="34"/>
  <c r="AA301" i="34"/>
  <c r="AA307" i="34"/>
  <c r="AA374" i="34"/>
  <c r="AA400" i="34"/>
  <c r="AA220" i="34"/>
  <c r="AA610" i="34"/>
  <c r="AA674" i="34"/>
  <c r="AA1626" i="34"/>
  <c r="AA822" i="34"/>
  <c r="AA830" i="34"/>
  <c r="AA896" i="34"/>
  <c r="AA930" i="34"/>
  <c r="AA1088" i="34"/>
  <c r="AA1168" i="34"/>
  <c r="AA2019" i="34"/>
  <c r="AA95" i="34"/>
  <c r="AA103" i="34"/>
  <c r="AA121" i="34"/>
  <c r="AA172" i="34"/>
  <c r="AA772" i="34"/>
  <c r="AA786" i="34"/>
  <c r="AA558" i="34"/>
  <c r="AA136" i="34"/>
  <c r="AA269" i="34"/>
  <c r="AA368" i="34"/>
  <c r="AA428" i="34"/>
  <c r="AA285" i="34"/>
  <c r="AA348" i="34"/>
  <c r="AA740" i="34"/>
  <c r="AA2069" i="34"/>
  <c r="AA2083" i="34"/>
  <c r="AA2097" i="34"/>
  <c r="AA2215" i="34"/>
  <c r="AA848" i="34"/>
  <c r="AA856" i="34"/>
  <c r="AA868" i="34"/>
  <c r="AA1624" i="34"/>
  <c r="AA432" i="34"/>
  <c r="AA91" i="34"/>
  <c r="AA132" i="34"/>
  <c r="AA451" i="34"/>
  <c r="AA503" i="34"/>
  <c r="AA525" i="34"/>
  <c r="AA287" i="34"/>
  <c r="AA85" i="34"/>
  <c r="AA728" i="34"/>
  <c r="AA916" i="34"/>
  <c r="AA303" i="34"/>
  <c r="AA309" i="34"/>
  <c r="AA376" i="34"/>
  <c r="AA394" i="34"/>
  <c r="AA249" i="34"/>
  <c r="AA824" i="34"/>
  <c r="AA832" i="34"/>
  <c r="AA932" i="34"/>
  <c r="AA1531" i="34"/>
  <c r="AA1538" i="34"/>
  <c r="AA1728" i="34"/>
  <c r="AA2021" i="34"/>
  <c r="AA449" i="34"/>
  <c r="AA97" i="34"/>
  <c r="AA111" i="34"/>
  <c r="AA774" i="34"/>
  <c r="AA594" i="34"/>
  <c r="AA253" i="34"/>
  <c r="AA860" i="34"/>
  <c r="AA782" i="34"/>
  <c r="AA388" i="34"/>
  <c r="AA138" i="34"/>
  <c r="AA177" i="34"/>
  <c r="AA271" i="34"/>
  <c r="AA342" i="34"/>
  <c r="AA370" i="34"/>
  <c r="AA430" i="34"/>
  <c r="AA338" i="34"/>
  <c r="AA704" i="34"/>
  <c r="AA648" i="34"/>
  <c r="AA700" i="34"/>
  <c r="AA889" i="34"/>
  <c r="AA146" i="34"/>
  <c r="AA585" i="34"/>
  <c r="AA305" i="34"/>
  <c r="AA281" i="34"/>
  <c r="AA902" i="34"/>
  <c r="AA2022" i="34"/>
  <c r="AA2176" i="34"/>
  <c r="AA2098" i="34"/>
  <c r="AA2085" i="34"/>
  <c r="AA1750" i="34"/>
  <c r="AA483" i="34"/>
  <c r="AA873" i="34"/>
  <c r="AA878" i="34"/>
  <c r="AA144" i="34"/>
  <c r="AA145" i="34"/>
  <c r="AA164" i="34"/>
  <c r="AA178" i="34"/>
  <c r="AA766" i="34"/>
  <c r="AA179" i="34"/>
  <c r="AA187" i="34"/>
  <c r="AA194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Q1614" i="34" l="1"/>
  <c r="P1614" i="34"/>
  <c r="P1615" i="34"/>
  <c r="Q1902" i="34"/>
  <c r="P1616" i="34"/>
  <c r="R1616" i="34"/>
  <c r="R1615" i="34"/>
  <c r="Q1615" i="34"/>
  <c r="Q1616" i="34"/>
  <c r="P1901" i="34"/>
  <c r="R1902" i="34"/>
  <c r="P1902" i="34"/>
  <c r="R1614" i="34"/>
  <c r="R1901" i="34"/>
  <c r="Q1901" i="34"/>
  <c r="R1987" i="34"/>
  <c r="P1987" i="34"/>
  <c r="Q1986" i="34"/>
  <c r="Q1987" i="34"/>
  <c r="P1986" i="34"/>
  <c r="R1986" i="34"/>
  <c r="R1975" i="34"/>
  <c r="P1975" i="34"/>
  <c r="Q1975" i="34"/>
  <c r="Q2696" i="34"/>
  <c r="Q2704" i="34"/>
  <c r="R2701" i="34"/>
  <c r="P2701" i="34"/>
  <c r="R2709" i="34"/>
  <c r="P2709" i="34"/>
  <c r="Q2698" i="34"/>
  <c r="Q2706" i="34"/>
  <c r="R2695" i="34"/>
  <c r="P2699" i="34"/>
  <c r="R2703" i="34"/>
  <c r="P2707" i="34"/>
  <c r="R2696" i="34"/>
  <c r="P2700" i="34"/>
  <c r="R2704" i="34"/>
  <c r="P2708" i="34"/>
  <c r="Q2701" i="34"/>
  <c r="Q2709" i="34"/>
  <c r="R2698" i="34"/>
  <c r="P2698" i="34"/>
  <c r="R2706" i="34"/>
  <c r="P2706" i="34"/>
  <c r="Q2699" i="34"/>
  <c r="Q2707" i="34"/>
  <c r="Q2700" i="34"/>
  <c r="Q2708" i="34"/>
  <c r="R2697" i="34"/>
  <c r="P2697" i="34"/>
  <c r="R2705" i="34"/>
  <c r="P2705" i="34"/>
  <c r="Q2694" i="34"/>
  <c r="Q2702" i="34"/>
  <c r="P2695" i="34"/>
  <c r="R2699" i="34"/>
  <c r="P2703" i="34"/>
  <c r="R2707" i="34"/>
  <c r="P2696" i="34"/>
  <c r="R2700" i="34"/>
  <c r="P2704" i="34"/>
  <c r="R2708" i="34"/>
  <c r="Q2697" i="34"/>
  <c r="Q2705" i="34"/>
  <c r="R2694" i="34"/>
  <c r="P2694" i="34"/>
  <c r="R2702" i="34"/>
  <c r="P2702" i="34"/>
  <c r="Q2695" i="34"/>
  <c r="Q2703" i="34"/>
  <c r="Q1974" i="34"/>
  <c r="R1974" i="34"/>
  <c r="P1974" i="34"/>
  <c r="P1689" i="34"/>
  <c r="P1693" i="34"/>
  <c r="R1462" i="34"/>
  <c r="P1462" i="34"/>
  <c r="Q1461" i="34"/>
  <c r="Q1487" i="34"/>
  <c r="P1486" i="34"/>
  <c r="Q1692" i="34"/>
  <c r="R1487" i="34"/>
  <c r="R1485" i="34"/>
  <c r="Q1486" i="34"/>
  <c r="R1692" i="34"/>
  <c r="Q1689" i="34"/>
  <c r="Q1693" i="34"/>
  <c r="P1485" i="34"/>
  <c r="P1690" i="34"/>
  <c r="Q1462" i="34"/>
  <c r="R1461" i="34"/>
  <c r="R1689" i="34"/>
  <c r="R1691" i="34"/>
  <c r="P1691" i="34"/>
  <c r="R1693" i="34"/>
  <c r="Q1485" i="34"/>
  <c r="R1486" i="34"/>
  <c r="Q1690" i="34"/>
  <c r="Q1691" i="34"/>
  <c r="P1487" i="34"/>
  <c r="R1690" i="34"/>
  <c r="P1692" i="34"/>
  <c r="P1461" i="34"/>
  <c r="R1725" i="34"/>
  <c r="P1873" i="34"/>
  <c r="Q1874" i="34"/>
  <c r="P1726" i="34"/>
  <c r="Q1873" i="34"/>
  <c r="R1874" i="34"/>
  <c r="Q1726" i="34"/>
  <c r="P1725" i="34"/>
  <c r="R1873" i="34"/>
  <c r="R1726" i="34"/>
  <c r="Q1725" i="34"/>
  <c r="P1874" i="34"/>
  <c r="Q1441" i="34"/>
  <c r="Q1646" i="34"/>
  <c r="Q1399" i="34"/>
  <c r="Q1443" i="34"/>
  <c r="R1436" i="34"/>
  <c r="P1641" i="34"/>
  <c r="Q1431" i="34"/>
  <c r="P1400" i="34"/>
  <c r="R1643" i="34"/>
  <c r="P1643" i="34"/>
  <c r="Q1642" i="34"/>
  <c r="P1645" i="34"/>
  <c r="Q1429" i="34"/>
  <c r="Q1766" i="34"/>
  <c r="R1402" i="34"/>
  <c r="P1436" i="34"/>
  <c r="R1641" i="34"/>
  <c r="P1767" i="34"/>
  <c r="P1430" i="34"/>
  <c r="Q1435" i="34"/>
  <c r="Q1644" i="34"/>
  <c r="Q1401" i="34"/>
  <c r="P1442" i="34"/>
  <c r="R1645" i="34"/>
  <c r="R1429" i="34"/>
  <c r="R1766" i="34"/>
  <c r="P1646" i="34"/>
  <c r="Q1402" i="34"/>
  <c r="Q1436" i="34"/>
  <c r="Q1430" i="34"/>
  <c r="R1435" i="34"/>
  <c r="P1644" i="34"/>
  <c r="R1437" i="34"/>
  <c r="P1429" i="34"/>
  <c r="R1441" i="34"/>
  <c r="P1766" i="34"/>
  <c r="R1646" i="34"/>
  <c r="R1399" i="34"/>
  <c r="P1399" i="34"/>
  <c r="R1443" i="34"/>
  <c r="P1443" i="34"/>
  <c r="Q1641" i="34"/>
  <c r="R1431" i="34"/>
  <c r="P1431" i="34"/>
  <c r="Q1400" i="34"/>
  <c r="Q1643" i="34"/>
  <c r="P1401" i="34"/>
  <c r="P1437" i="34"/>
  <c r="R1642" i="34"/>
  <c r="Q1645" i="34"/>
  <c r="P1402" i="34"/>
  <c r="R1767" i="34"/>
  <c r="R1430" i="34"/>
  <c r="R1400" i="34"/>
  <c r="R1442" i="34"/>
  <c r="Q1437" i="34"/>
  <c r="P1441" i="34"/>
  <c r="Q1767" i="34"/>
  <c r="P1435" i="34"/>
  <c r="R1644" i="34"/>
  <c r="R1401" i="34"/>
  <c r="Q1442" i="34"/>
  <c r="P1642" i="34"/>
  <c r="Q1718" i="34"/>
  <c r="Q1791" i="34"/>
  <c r="P1782" i="34"/>
  <c r="R1782" i="34"/>
  <c r="R1823" i="34"/>
  <c r="P1848" i="34"/>
  <c r="R1716" i="34"/>
  <c r="P1785" i="34"/>
  <c r="R1785" i="34"/>
  <c r="Q1799" i="34"/>
  <c r="R1824" i="34"/>
  <c r="P1915" i="34"/>
  <c r="R1915" i="34"/>
  <c r="Q1867" i="34"/>
  <c r="P1911" i="34"/>
  <c r="R1911" i="34"/>
  <c r="Q1713" i="34"/>
  <c r="Q1776" i="34"/>
  <c r="P1786" i="34"/>
  <c r="R1786" i="34"/>
  <c r="P1849" i="34"/>
  <c r="R1849" i="34"/>
  <c r="Q1917" i="34"/>
  <c r="P1843" i="34"/>
  <c r="Q1872" i="34"/>
  <c r="R1868" i="34"/>
  <c r="Q1908" i="34"/>
  <c r="P1718" i="34"/>
  <c r="R1718" i="34"/>
  <c r="P1791" i="34"/>
  <c r="Q1782" i="34"/>
  <c r="P1788" i="34"/>
  <c r="Q1716" i="34"/>
  <c r="Q1785" i="34"/>
  <c r="P1799" i="34"/>
  <c r="Q1824" i="34"/>
  <c r="Q1915" i="34"/>
  <c r="P1867" i="34"/>
  <c r="R1883" i="34"/>
  <c r="Q1911" i="34"/>
  <c r="P1713" i="34"/>
  <c r="R1713" i="34"/>
  <c r="R1776" i="34"/>
  <c r="Q1786" i="34"/>
  <c r="Q1849" i="34"/>
  <c r="P1917" i="34"/>
  <c r="R1831" i="34"/>
  <c r="Q1843" i="34"/>
  <c r="R1872" i="34"/>
  <c r="Q1868" i="34"/>
  <c r="P1908" i="34"/>
  <c r="R1908" i="34"/>
  <c r="R1921" i="34"/>
  <c r="P1668" i="34"/>
  <c r="Q1777" i="34"/>
  <c r="R1791" i="34"/>
  <c r="P1823" i="34"/>
  <c r="Q1741" i="34"/>
  <c r="R1799" i="34"/>
  <c r="P1824" i="34"/>
  <c r="R1842" i="34"/>
  <c r="Q1893" i="34"/>
  <c r="R1464" i="34"/>
  <c r="P1790" i="34"/>
  <c r="R1917" i="34"/>
  <c r="Q1831" i="34"/>
  <c r="Q1916" i="34"/>
  <c r="P1890" i="34"/>
  <c r="Q1668" i="34"/>
  <c r="R1840" i="34"/>
  <c r="P1847" i="34"/>
  <c r="R1913" i="34"/>
  <c r="Q1869" i="34"/>
  <c r="P1891" i="34"/>
  <c r="R1909" i="34"/>
  <c r="P1918" i="34"/>
  <c r="R1922" i="34"/>
  <c r="R1945" i="34"/>
  <c r="Q1945" i="34"/>
  <c r="P1719" i="34"/>
  <c r="Q1792" i="34"/>
  <c r="P1866" i="34"/>
  <c r="R1866" i="34"/>
  <c r="R1788" i="34"/>
  <c r="Q1848" i="34"/>
  <c r="P1716" i="34"/>
  <c r="P1842" i="34"/>
  <c r="R1867" i="34"/>
  <c r="Q1883" i="34"/>
  <c r="Q1924" i="34"/>
  <c r="Q1717" i="34"/>
  <c r="P1464" i="34"/>
  <c r="R1790" i="34"/>
  <c r="P1868" i="34"/>
  <c r="R1890" i="34"/>
  <c r="Q1912" i="34"/>
  <c r="R1668" i="34"/>
  <c r="R1777" i="34"/>
  <c r="R1850" i="34"/>
  <c r="Q1840" i="34"/>
  <c r="Q1847" i="34"/>
  <c r="P1869" i="34"/>
  <c r="R1869" i="34"/>
  <c r="Q1891" i="34"/>
  <c r="Q1922" i="34"/>
  <c r="R1783" i="34"/>
  <c r="Q1719" i="34"/>
  <c r="R1792" i="34"/>
  <c r="Q1866" i="34"/>
  <c r="R1892" i="34"/>
  <c r="P1919" i="34"/>
  <c r="R1919" i="34"/>
  <c r="R1005" i="34"/>
  <c r="Q1714" i="34"/>
  <c r="Q1787" i="34"/>
  <c r="R1741" i="34"/>
  <c r="P1883" i="34"/>
  <c r="Q1790" i="34"/>
  <c r="R1843" i="34"/>
  <c r="P1872" i="34"/>
  <c r="Q1850" i="34"/>
  <c r="Q1822" i="34"/>
  <c r="P1865" i="34"/>
  <c r="P1909" i="34"/>
  <c r="Q1669" i="34"/>
  <c r="P1841" i="34"/>
  <c r="R1870" i="34"/>
  <c r="Q1923" i="34"/>
  <c r="R1787" i="34"/>
  <c r="P1787" i="34"/>
  <c r="R1863" i="34"/>
  <c r="P1914" i="34"/>
  <c r="R1463" i="34"/>
  <c r="Q1864" i="34"/>
  <c r="Q1871" i="34"/>
  <c r="P1920" i="34"/>
  <c r="R1920" i="34"/>
  <c r="P1776" i="34"/>
  <c r="Q1842" i="34"/>
  <c r="P1893" i="34"/>
  <c r="P1916" i="34"/>
  <c r="R1822" i="34"/>
  <c r="Q1865" i="34"/>
  <c r="R1891" i="34"/>
  <c r="Q1909" i="34"/>
  <c r="R1669" i="34"/>
  <c r="P1945" i="34"/>
  <c r="P1783" i="34"/>
  <c r="Q1841" i="34"/>
  <c r="Q1910" i="34"/>
  <c r="Q1919" i="34"/>
  <c r="R1923" i="34"/>
  <c r="P1005" i="34"/>
  <c r="Q1715" i="34"/>
  <c r="R1784" i="34"/>
  <c r="P1863" i="34"/>
  <c r="Q1914" i="34"/>
  <c r="P1463" i="34"/>
  <c r="Q1789" i="34"/>
  <c r="R1871" i="34"/>
  <c r="Q1788" i="34"/>
  <c r="Q1823" i="34"/>
  <c r="R1893" i="34"/>
  <c r="P1924" i="34"/>
  <c r="P1717" i="34"/>
  <c r="R1916" i="34"/>
  <c r="Q1890" i="34"/>
  <c r="P1921" i="34"/>
  <c r="R1865" i="34"/>
  <c r="Q1918" i="34"/>
  <c r="P1922" i="34"/>
  <c r="R1841" i="34"/>
  <c r="P1870" i="34"/>
  <c r="P1910" i="34"/>
  <c r="P1923" i="34"/>
  <c r="Q1005" i="34"/>
  <c r="R1714" i="34"/>
  <c r="P1784" i="34"/>
  <c r="R1864" i="34"/>
  <c r="R1848" i="34"/>
  <c r="R1717" i="34"/>
  <c r="P1831" i="34"/>
  <c r="P1912" i="34"/>
  <c r="P1840" i="34"/>
  <c r="P1913" i="34"/>
  <c r="Q1783" i="34"/>
  <c r="R1910" i="34"/>
  <c r="Q1920" i="34"/>
  <c r="P1777" i="34"/>
  <c r="R1847" i="34"/>
  <c r="P1792" i="34"/>
  <c r="P1714" i="34"/>
  <c r="P1715" i="34"/>
  <c r="P1789" i="34"/>
  <c r="P1864" i="34"/>
  <c r="R1924" i="34"/>
  <c r="Q1921" i="34"/>
  <c r="P1850" i="34"/>
  <c r="R1918" i="34"/>
  <c r="P1669" i="34"/>
  <c r="Q1870" i="34"/>
  <c r="P1892" i="34"/>
  <c r="R1715" i="34"/>
  <c r="Q1784" i="34"/>
  <c r="Q1863" i="34"/>
  <c r="R1789" i="34"/>
  <c r="Q1892" i="34"/>
  <c r="Q1463" i="34"/>
  <c r="P1871" i="34"/>
  <c r="P1741" i="34"/>
  <c r="Q1464" i="34"/>
  <c r="R1912" i="34"/>
  <c r="P1822" i="34"/>
  <c r="Q1913" i="34"/>
  <c r="R1719" i="34"/>
  <c r="R1914" i="34"/>
  <c r="R1803" i="34"/>
  <c r="P1803" i="34"/>
  <c r="Q1854" i="34"/>
  <c r="Q1812" i="34"/>
  <c r="Q1856" i="34"/>
  <c r="R1932" i="34"/>
  <c r="R1815" i="34"/>
  <c r="P1815" i="34"/>
  <c r="P1829" i="34"/>
  <c r="Q1838" i="34"/>
  <c r="P1927" i="34"/>
  <c r="P1930" i="34"/>
  <c r="Q1860" i="34"/>
  <c r="Q1878" i="34"/>
  <c r="Q1880" i="34"/>
  <c r="R1885" i="34"/>
  <c r="P1889" i="34"/>
  <c r="R1897" i="34"/>
  <c r="P1769" i="34"/>
  <c r="P1797" i="34"/>
  <c r="P1935" i="34"/>
  <c r="Q1858" i="34"/>
  <c r="P1825" i="34"/>
  <c r="R1807" i="34"/>
  <c r="P1807" i="34"/>
  <c r="R1809" i="34"/>
  <c r="R1763" i="34"/>
  <c r="P1763" i="34"/>
  <c r="R1765" i="34"/>
  <c r="Q1794" i="34"/>
  <c r="P1801" i="34"/>
  <c r="R1813" i="34"/>
  <c r="Q1804" i="34"/>
  <c r="Q1806" i="34"/>
  <c r="Q1808" i="34"/>
  <c r="R1779" i="34"/>
  <c r="P1779" i="34"/>
  <c r="P1853" i="34"/>
  <c r="R1857" i="34"/>
  <c r="Q1816" i="34"/>
  <c r="Q1826" i="34"/>
  <c r="Q1828" i="34"/>
  <c r="R1839" i="34"/>
  <c r="P1839" i="34"/>
  <c r="R1929" i="34"/>
  <c r="Q1929" i="34"/>
  <c r="P1861" i="34"/>
  <c r="R1877" i="34"/>
  <c r="P1881" i="34"/>
  <c r="Q1886" i="34"/>
  <c r="Q1888" i="34"/>
  <c r="Q1894" i="34"/>
  <c r="P1805" i="34"/>
  <c r="Q1844" i="34"/>
  <c r="R1925" i="34"/>
  <c r="P1925" i="34"/>
  <c r="Q1862" i="34"/>
  <c r="Q1876" i="34"/>
  <c r="Q1882" i="34"/>
  <c r="R1887" i="34"/>
  <c r="P1887" i="34"/>
  <c r="R1793" i="34"/>
  <c r="Q1802" i="34"/>
  <c r="Q1934" i="34"/>
  <c r="R1934" i="34"/>
  <c r="R1855" i="34"/>
  <c r="P1855" i="34"/>
  <c r="Q1830" i="34"/>
  <c r="P1833" i="34"/>
  <c r="R1837" i="34"/>
  <c r="P1845" i="34"/>
  <c r="P1926" i="34"/>
  <c r="R1875" i="34"/>
  <c r="P1875" i="34"/>
  <c r="Q1884" i="34"/>
  <c r="Q1852" i="34"/>
  <c r="R1827" i="34"/>
  <c r="R1829" i="34"/>
  <c r="Q1846" i="34"/>
  <c r="P1905" i="34"/>
  <c r="Q1930" i="34"/>
  <c r="P1897" i="34"/>
  <c r="R1769" i="34"/>
  <c r="R1933" i="34"/>
  <c r="R1811" i="34"/>
  <c r="P1809" i="34"/>
  <c r="Q1778" i="34"/>
  <c r="Q1803" i="34"/>
  <c r="R1854" i="34"/>
  <c r="R1812" i="34"/>
  <c r="P1812" i="34"/>
  <c r="R1856" i="34"/>
  <c r="P1856" i="34"/>
  <c r="Q1815" i="34"/>
  <c r="Q1829" i="34"/>
  <c r="P1834" i="34"/>
  <c r="R1838" i="34"/>
  <c r="P1846" i="34"/>
  <c r="R1927" i="34"/>
  <c r="Q1927" i="34"/>
  <c r="R1860" i="34"/>
  <c r="P1860" i="34"/>
  <c r="R1878" i="34"/>
  <c r="R1880" i="34"/>
  <c r="P1880" i="34"/>
  <c r="Q1889" i="34"/>
  <c r="Q1769" i="34"/>
  <c r="Q1797" i="34"/>
  <c r="P1933" i="34"/>
  <c r="R1935" i="34"/>
  <c r="Q1935" i="34"/>
  <c r="R1858" i="34"/>
  <c r="Q1825" i="34"/>
  <c r="Q1807" i="34"/>
  <c r="Q1763" i="34"/>
  <c r="P1778" i="34"/>
  <c r="R1794" i="34"/>
  <c r="Q1801" i="34"/>
  <c r="R1804" i="34"/>
  <c r="P1804" i="34"/>
  <c r="R1806" i="34"/>
  <c r="R1808" i="34"/>
  <c r="P1808" i="34"/>
  <c r="Q1779" i="34"/>
  <c r="Q1853" i="34"/>
  <c r="R1816" i="34"/>
  <c r="P1816" i="34"/>
  <c r="R1826" i="34"/>
  <c r="R1828" i="34"/>
  <c r="P1828" i="34"/>
  <c r="Q1839" i="34"/>
  <c r="Q1861" i="34"/>
  <c r="Q1881" i="34"/>
  <c r="R1886" i="34"/>
  <c r="R1888" i="34"/>
  <c r="P1888" i="34"/>
  <c r="R1894" i="34"/>
  <c r="Q1805" i="34"/>
  <c r="R1844" i="34"/>
  <c r="P1844" i="34"/>
  <c r="Q1925" i="34"/>
  <c r="R1862" i="34"/>
  <c r="R1876" i="34"/>
  <c r="P1876" i="34"/>
  <c r="R1882" i="34"/>
  <c r="Q1887" i="34"/>
  <c r="P1810" i="34"/>
  <c r="P1770" i="34"/>
  <c r="P1798" i="34"/>
  <c r="R1802" i="34"/>
  <c r="Q1855" i="34"/>
  <c r="P1814" i="34"/>
  <c r="R1830" i="34"/>
  <c r="Q1833" i="34"/>
  <c r="Q1845" i="34"/>
  <c r="P1904" i="34"/>
  <c r="Q1875" i="34"/>
  <c r="R1884" i="34"/>
  <c r="P1884" i="34"/>
  <c r="P1898" i="34"/>
  <c r="P1827" i="34"/>
  <c r="Q1832" i="34"/>
  <c r="Q1834" i="34"/>
  <c r="R1905" i="34"/>
  <c r="R1930" i="34"/>
  <c r="P1885" i="34"/>
  <c r="R1889" i="34"/>
  <c r="Q1780" i="34"/>
  <c r="R1797" i="34"/>
  <c r="Q1933" i="34"/>
  <c r="R1825" i="34"/>
  <c r="P1811" i="34"/>
  <c r="P1765" i="34"/>
  <c r="R1801" i="34"/>
  <c r="R1852" i="34"/>
  <c r="P1932" i="34"/>
  <c r="P1838" i="34"/>
  <c r="Q1905" i="34"/>
  <c r="Q1885" i="34"/>
  <c r="P1858" i="34"/>
  <c r="Q1811" i="34"/>
  <c r="P1794" i="34"/>
  <c r="Q1813" i="34"/>
  <c r="R1768" i="34"/>
  <c r="Q1795" i="34"/>
  <c r="Q1857" i="34"/>
  <c r="P1906" i="34"/>
  <c r="R1931" i="34"/>
  <c r="P1886" i="34"/>
  <c r="R1836" i="34"/>
  <c r="P1900" i="34"/>
  <c r="P1862" i="34"/>
  <c r="R1810" i="34"/>
  <c r="P1764" i="34"/>
  <c r="Q1793" i="34"/>
  <c r="R1798" i="34"/>
  <c r="Q1859" i="34"/>
  <c r="P1830" i="34"/>
  <c r="R1904" i="34"/>
  <c r="P1896" i="34"/>
  <c r="P1854" i="34"/>
  <c r="R1832" i="34"/>
  <c r="Q1765" i="34"/>
  <c r="R1853" i="34"/>
  <c r="P1835" i="34"/>
  <c r="P1877" i="34"/>
  <c r="R1805" i="34"/>
  <c r="P1895" i="34"/>
  <c r="Q1770" i="34"/>
  <c r="P1851" i="34"/>
  <c r="Q1814" i="34"/>
  <c r="P1837" i="34"/>
  <c r="P1899" i="34"/>
  <c r="Q1898" i="34"/>
  <c r="P1832" i="34"/>
  <c r="R1846" i="34"/>
  <c r="R1780" i="34"/>
  <c r="Q1809" i="34"/>
  <c r="P1806" i="34"/>
  <c r="P1768" i="34"/>
  <c r="P1826" i="34"/>
  <c r="Q1835" i="34"/>
  <c r="R1906" i="34"/>
  <c r="P1929" i="34"/>
  <c r="Q1931" i="34"/>
  <c r="Q1877" i="34"/>
  <c r="P1894" i="34"/>
  <c r="P1836" i="34"/>
  <c r="R1900" i="34"/>
  <c r="P1882" i="34"/>
  <c r="Q1895" i="34"/>
  <c r="R1764" i="34"/>
  <c r="R1770" i="34"/>
  <c r="P1802" i="34"/>
  <c r="Q1851" i="34"/>
  <c r="R1814" i="34"/>
  <c r="Q1837" i="34"/>
  <c r="Q1899" i="34"/>
  <c r="Q1879" i="34"/>
  <c r="R1896" i="34"/>
  <c r="R1898" i="34"/>
  <c r="Q1932" i="34"/>
  <c r="Q1827" i="34"/>
  <c r="R1834" i="34"/>
  <c r="Q1897" i="34"/>
  <c r="P1780" i="34"/>
  <c r="R1778" i="34"/>
  <c r="P1813" i="34"/>
  <c r="Q1768" i="34"/>
  <c r="P1795" i="34"/>
  <c r="P1857" i="34"/>
  <c r="R1835" i="34"/>
  <c r="P1931" i="34"/>
  <c r="R1861" i="34"/>
  <c r="Q1836" i="34"/>
  <c r="R1895" i="34"/>
  <c r="Q1810" i="34"/>
  <c r="P1793" i="34"/>
  <c r="Q1798" i="34"/>
  <c r="R1851" i="34"/>
  <c r="P1859" i="34"/>
  <c r="R1833" i="34"/>
  <c r="R1899" i="34"/>
  <c r="Q1904" i="34"/>
  <c r="R1926" i="34"/>
  <c r="R1879" i="34"/>
  <c r="P1852" i="34"/>
  <c r="P1878" i="34"/>
  <c r="R1795" i="34"/>
  <c r="Q1906" i="34"/>
  <c r="R1881" i="34"/>
  <c r="Q1900" i="34"/>
  <c r="Q1764" i="34"/>
  <c r="P1934" i="34"/>
  <c r="R1859" i="34"/>
  <c r="R1845" i="34"/>
  <c r="Q1926" i="34"/>
  <c r="P1879" i="34"/>
  <c r="Q1896" i="34"/>
  <c r="Q1620" i="34"/>
  <c r="Q1688" i="34"/>
  <c r="P1694" i="34"/>
  <c r="R1694" i="34"/>
  <c r="Q1632" i="34"/>
  <c r="Q1667" i="34"/>
  <c r="R1620" i="34"/>
  <c r="R1632" i="34"/>
  <c r="P1667" i="34"/>
  <c r="Q1633" i="34"/>
  <c r="P1687" i="34"/>
  <c r="P1688" i="34"/>
  <c r="P1634" i="34"/>
  <c r="R1634" i="34"/>
  <c r="P1632" i="34"/>
  <c r="P1633" i="34"/>
  <c r="R1633" i="34"/>
  <c r="Q1687" i="34"/>
  <c r="R1712" i="34"/>
  <c r="Q1634" i="34"/>
  <c r="P1666" i="34"/>
  <c r="R1666" i="34"/>
  <c r="R1667" i="34"/>
  <c r="Q1695" i="34"/>
  <c r="R1687" i="34"/>
  <c r="P1712" i="34"/>
  <c r="R1688" i="34"/>
  <c r="Q1694" i="34"/>
  <c r="R1695" i="34"/>
  <c r="P1620" i="34"/>
  <c r="Q1712" i="34"/>
  <c r="Q1666" i="34"/>
  <c r="P1695" i="34"/>
  <c r="Q1580" i="34"/>
  <c r="R1903" i="34"/>
  <c r="P1508" i="34"/>
  <c r="R1711" i="34"/>
  <c r="P1711" i="34"/>
  <c r="Q1706" i="34"/>
  <c r="Q1576" i="34"/>
  <c r="R1733" i="34"/>
  <c r="Q1459" i="34"/>
  <c r="R1527" i="34"/>
  <c r="Q1773" i="34"/>
  <c r="R1608" i="34"/>
  <c r="P1492" i="34"/>
  <c r="R1492" i="34"/>
  <c r="Q1567" i="34"/>
  <c r="R1581" i="34"/>
  <c r="Q1495" i="34"/>
  <c r="Q1445" i="34"/>
  <c r="R1510" i="34"/>
  <c r="P1510" i="34"/>
  <c r="R1452" i="34"/>
  <c r="Q1501" i="34"/>
  <c r="R1494" i="34"/>
  <c r="P1494" i="34"/>
  <c r="R1781" i="34"/>
  <c r="Q1664" i="34"/>
  <c r="Q1507" i="34"/>
  <c r="Q1453" i="34"/>
  <c r="R1496" i="34"/>
  <c r="P1504" i="34"/>
  <c r="R1928" i="34"/>
  <c r="R1737" i="34"/>
  <c r="R1771" i="34"/>
  <c r="P1771" i="34"/>
  <c r="Q1610" i="34"/>
  <c r="R1705" i="34"/>
  <c r="Q1489" i="34"/>
  <c r="P1474" i="34"/>
  <c r="R1613" i="34"/>
  <c r="Q1819" i="34"/>
  <c r="P1550" i="34"/>
  <c r="R1550" i="34"/>
  <c r="P1607" i="34"/>
  <c r="R1607" i="34"/>
  <c r="R1454" i="34"/>
  <c r="P1454" i="34"/>
  <c r="Q1599" i="34"/>
  <c r="P1521" i="34"/>
  <c r="R1521" i="34"/>
  <c r="Q1491" i="34"/>
  <c r="P1800" i="34"/>
  <c r="R1820" i="34"/>
  <c r="P1551" i="34"/>
  <c r="Q1570" i="34"/>
  <c r="P1907" i="34"/>
  <c r="Q1578" i="34"/>
  <c r="R1530" i="34"/>
  <c r="R1704" i="34"/>
  <c r="P1704" i="34"/>
  <c r="Q1498" i="34"/>
  <c r="R1707" i="34"/>
  <c r="P1707" i="34"/>
  <c r="Q1732" i="34"/>
  <c r="Q1738" i="34"/>
  <c r="P1611" i="34"/>
  <c r="P1529" i="34"/>
  <c r="R1529" i="34"/>
  <c r="Q1488" i="34"/>
  <c r="P1509" i="34"/>
  <c r="Q1775" i="34"/>
  <c r="Q1665" i="34"/>
  <c r="Q1518" i="34"/>
  <c r="P1903" i="34"/>
  <c r="R1508" i="34"/>
  <c r="R1458" i="34"/>
  <c r="P1458" i="34"/>
  <c r="P1733" i="34"/>
  <c r="Q1505" i="34"/>
  <c r="R1579" i="34"/>
  <c r="P1579" i="34"/>
  <c r="Q1527" i="34"/>
  <c r="P1608" i="34"/>
  <c r="Q1492" i="34"/>
  <c r="P1567" i="34"/>
  <c r="P1581" i="34"/>
  <c r="Q1734" i="34"/>
  <c r="R1708" i="34"/>
  <c r="P1708" i="34"/>
  <c r="P1452" i="34"/>
  <c r="Q1582" i="34"/>
  <c r="Q1588" i="34"/>
  <c r="R1446" i="34"/>
  <c r="P1446" i="34"/>
  <c r="P1781" i="34"/>
  <c r="Q1724" i="34"/>
  <c r="Q1511" i="34"/>
  <c r="Q1449" i="34"/>
  <c r="Q1457" i="34"/>
  <c r="P1496" i="34"/>
  <c r="R1504" i="34"/>
  <c r="Q1710" i="34"/>
  <c r="P1737" i="34"/>
  <c r="Q1598" i="34"/>
  <c r="P1705" i="34"/>
  <c r="P1489" i="34"/>
  <c r="R1489" i="34"/>
  <c r="R1490" i="34"/>
  <c r="Q1474" i="34"/>
  <c r="P1819" i="34"/>
  <c r="Q1550" i="34"/>
  <c r="Q1607" i="34"/>
  <c r="R1679" i="34"/>
  <c r="P1679" i="34"/>
  <c r="R1526" i="34"/>
  <c r="Q1521" i="34"/>
  <c r="R1491" i="34"/>
  <c r="Q1820" i="34"/>
  <c r="Q1551" i="34"/>
  <c r="P1570" i="34"/>
  <c r="R1570" i="34"/>
  <c r="R1502" i="34"/>
  <c r="P1502" i="34"/>
  <c r="R1907" i="34"/>
  <c r="Q1497" i="34"/>
  <c r="Q1772" i="34"/>
  <c r="Q1444" i="34"/>
  <c r="R1451" i="34"/>
  <c r="P1451" i="34"/>
  <c r="Q1735" i="34"/>
  <c r="Q1447" i="34"/>
  <c r="R1450" i="34"/>
  <c r="P1450" i="34"/>
  <c r="Q1774" i="34"/>
  <c r="R1611" i="34"/>
  <c r="Q1529" i="34"/>
  <c r="R1606" i="34"/>
  <c r="P1606" i="34"/>
  <c r="R1509" i="34"/>
  <c r="R1455" i="34"/>
  <c r="P1455" i="34"/>
  <c r="Q1739" i="34"/>
  <c r="P1518" i="34"/>
  <c r="R1466" i="34"/>
  <c r="R1580" i="34"/>
  <c r="R1706" i="34"/>
  <c r="P1576" i="34"/>
  <c r="P1505" i="34"/>
  <c r="P1459" i="34"/>
  <c r="P1527" i="34"/>
  <c r="P1525" i="34"/>
  <c r="R1567" i="34"/>
  <c r="R1495" i="34"/>
  <c r="R1445" i="34"/>
  <c r="P1588" i="34"/>
  <c r="Q1494" i="34"/>
  <c r="R1664" i="34"/>
  <c r="P1507" i="34"/>
  <c r="P1449" i="34"/>
  <c r="R1453" i="34"/>
  <c r="Q1504" i="34"/>
  <c r="P1610" i="34"/>
  <c r="P1520" i="34"/>
  <c r="Q1490" i="34"/>
  <c r="P1613" i="34"/>
  <c r="Q1569" i="34"/>
  <c r="P1528" i="34"/>
  <c r="R1599" i="34"/>
  <c r="Q1517" i="34"/>
  <c r="P1465" i="34"/>
  <c r="Q1800" i="34"/>
  <c r="P1820" i="34"/>
  <c r="Q1612" i="34"/>
  <c r="P1497" i="34"/>
  <c r="P1530" i="34"/>
  <c r="Q1451" i="34"/>
  <c r="P1735" i="34"/>
  <c r="P1817" i="34"/>
  <c r="R1732" i="34"/>
  <c r="Q1611" i="34"/>
  <c r="R1488" i="34"/>
  <c r="Q1455" i="34"/>
  <c r="P1739" i="34"/>
  <c r="R1518" i="34"/>
  <c r="Q1466" i="34"/>
  <c r="R1571" i="34"/>
  <c r="P1493" i="34"/>
  <c r="R1650" i="34"/>
  <c r="Q1506" i="34"/>
  <c r="Q1456" i="34"/>
  <c r="R1503" i="34"/>
  <c r="P1503" i="34"/>
  <c r="Q1709" i="34"/>
  <c r="R1740" i="34"/>
  <c r="P1740" i="34"/>
  <c r="Q1609" i="34"/>
  <c r="P1438" i="34"/>
  <c r="Q1519" i="34"/>
  <c r="P1473" i="34"/>
  <c r="R1473" i="34"/>
  <c r="Q1818" i="34"/>
  <c r="R1568" i="34"/>
  <c r="Q1733" i="34"/>
  <c r="R1505" i="34"/>
  <c r="Q1579" i="34"/>
  <c r="P1773" i="34"/>
  <c r="Q1608" i="34"/>
  <c r="Q1525" i="34"/>
  <c r="Q1581" i="34"/>
  <c r="P1501" i="34"/>
  <c r="R1588" i="34"/>
  <c r="Q1446" i="34"/>
  <c r="Q1781" i="34"/>
  <c r="P1724" i="34"/>
  <c r="R1511" i="34"/>
  <c r="R1449" i="34"/>
  <c r="Q1496" i="34"/>
  <c r="P1928" i="34"/>
  <c r="Q1737" i="34"/>
  <c r="P1598" i="34"/>
  <c r="Q1705" i="34"/>
  <c r="Q1520" i="34"/>
  <c r="R1474" i="34"/>
  <c r="Q1613" i="34"/>
  <c r="R1569" i="34"/>
  <c r="Q1528" i="34"/>
  <c r="P1526" i="34"/>
  <c r="R1517" i="34"/>
  <c r="Q1465" i="34"/>
  <c r="R1800" i="34"/>
  <c r="R1551" i="34"/>
  <c r="R1612" i="34"/>
  <c r="Q1502" i="34"/>
  <c r="P1578" i="34"/>
  <c r="R1497" i="34"/>
  <c r="P1772" i="34"/>
  <c r="Q1530" i="34"/>
  <c r="Q1704" i="34"/>
  <c r="P1498" i="34"/>
  <c r="Q1707" i="34"/>
  <c r="Q1817" i="34"/>
  <c r="R1447" i="34"/>
  <c r="Q1450" i="34"/>
  <c r="P1738" i="34"/>
  <c r="P1775" i="34"/>
  <c r="P1665" i="34"/>
  <c r="Q1548" i="34"/>
  <c r="P1571" i="34"/>
  <c r="P1577" i="34"/>
  <c r="Q1493" i="34"/>
  <c r="P1448" i="34"/>
  <c r="R1456" i="34"/>
  <c r="P1460" i="34"/>
  <c r="Q1796" i="34"/>
  <c r="R1709" i="34"/>
  <c r="Q1736" i="34"/>
  <c r="R1597" i="34"/>
  <c r="P1597" i="34"/>
  <c r="Q1680" i="34"/>
  <c r="P1392" i="34"/>
  <c r="R1392" i="34"/>
  <c r="Q1821" i="34"/>
  <c r="P1549" i="34"/>
  <c r="R1549" i="34"/>
  <c r="P1568" i="34"/>
  <c r="R1572" i="34"/>
  <c r="P1580" i="34"/>
  <c r="Q1508" i="34"/>
  <c r="Q1711" i="34"/>
  <c r="R1576" i="34"/>
  <c r="R1459" i="34"/>
  <c r="R1773" i="34"/>
  <c r="R1525" i="34"/>
  <c r="P1495" i="34"/>
  <c r="P1734" i="34"/>
  <c r="Q1510" i="34"/>
  <c r="P1582" i="34"/>
  <c r="R1501" i="34"/>
  <c r="P1664" i="34"/>
  <c r="R1507" i="34"/>
  <c r="P1457" i="34"/>
  <c r="P1710" i="34"/>
  <c r="Q1771" i="34"/>
  <c r="R1610" i="34"/>
  <c r="R1520" i="34"/>
  <c r="R1819" i="34"/>
  <c r="R1528" i="34"/>
  <c r="Q1454" i="34"/>
  <c r="Q1526" i="34"/>
  <c r="R1465" i="34"/>
  <c r="Q1907" i="34"/>
  <c r="R1578" i="34"/>
  <c r="P1444" i="34"/>
  <c r="R1735" i="34"/>
  <c r="R1817" i="34"/>
  <c r="P1732" i="34"/>
  <c r="P1774" i="34"/>
  <c r="R1738" i="34"/>
  <c r="Q1606" i="34"/>
  <c r="Q1509" i="34"/>
  <c r="R1739" i="34"/>
  <c r="R1665" i="34"/>
  <c r="R1548" i="34"/>
  <c r="P1548" i="34"/>
  <c r="Q1577" i="34"/>
  <c r="R1493" i="34"/>
  <c r="P1650" i="34"/>
  <c r="Q1448" i="34"/>
  <c r="Q1460" i="34"/>
  <c r="R1796" i="34"/>
  <c r="P1796" i="34"/>
  <c r="R1736" i="34"/>
  <c r="P1736" i="34"/>
  <c r="Q1597" i="34"/>
  <c r="R1680" i="34"/>
  <c r="P1680" i="34"/>
  <c r="Q1438" i="34"/>
  <c r="R1519" i="34"/>
  <c r="Q1473" i="34"/>
  <c r="P1818" i="34"/>
  <c r="R1818" i="34"/>
  <c r="Q1568" i="34"/>
  <c r="P1572" i="34"/>
  <c r="Q1903" i="34"/>
  <c r="Q1458" i="34"/>
  <c r="P1706" i="34"/>
  <c r="P1445" i="34"/>
  <c r="R1734" i="34"/>
  <c r="Q1708" i="34"/>
  <c r="Q1452" i="34"/>
  <c r="R1582" i="34"/>
  <c r="R1724" i="34"/>
  <c r="P1511" i="34"/>
  <c r="P1453" i="34"/>
  <c r="R1457" i="34"/>
  <c r="Q1928" i="34"/>
  <c r="R1710" i="34"/>
  <c r="R1598" i="34"/>
  <c r="P1490" i="34"/>
  <c r="P1569" i="34"/>
  <c r="Q1679" i="34"/>
  <c r="P1599" i="34"/>
  <c r="P1517" i="34"/>
  <c r="P1491" i="34"/>
  <c r="P1612" i="34"/>
  <c r="R1772" i="34"/>
  <c r="R1444" i="34"/>
  <c r="R1498" i="34"/>
  <c r="P1447" i="34"/>
  <c r="R1774" i="34"/>
  <c r="P1488" i="34"/>
  <c r="R1775" i="34"/>
  <c r="P1466" i="34"/>
  <c r="Q1571" i="34"/>
  <c r="R1577" i="34"/>
  <c r="Q1650" i="34"/>
  <c r="R1506" i="34"/>
  <c r="P1506" i="34"/>
  <c r="R1448" i="34"/>
  <c r="P1456" i="34"/>
  <c r="R1460" i="34"/>
  <c r="Q1503" i="34"/>
  <c r="P1709" i="34"/>
  <c r="Q1740" i="34"/>
  <c r="R1609" i="34"/>
  <c r="P1609" i="34"/>
  <c r="R1438" i="34"/>
  <c r="P1519" i="34"/>
  <c r="Q1392" i="34"/>
  <c r="P1821" i="34"/>
  <c r="R1821" i="34"/>
  <c r="Q1549" i="34"/>
  <c r="Q1572" i="34"/>
  <c r="R355" i="34"/>
  <c r="P355" i="34"/>
  <c r="R389" i="34"/>
  <c r="R496" i="34"/>
  <c r="P496" i="34"/>
  <c r="P863" i="34"/>
  <c r="P373" i="34"/>
  <c r="P526" i="34"/>
  <c r="P365" i="34"/>
  <c r="Q529" i="34"/>
  <c r="Q355" i="34"/>
  <c r="Q496" i="34"/>
  <c r="Q863" i="34"/>
  <c r="Q373" i="34"/>
  <c r="P487" i="34"/>
  <c r="Q526" i="34"/>
  <c r="P1381" i="34"/>
  <c r="Q365" i="34"/>
  <c r="R529" i="34"/>
  <c r="P529" i="34"/>
  <c r="P389" i="34"/>
  <c r="Q596" i="34"/>
  <c r="R863" i="34"/>
  <c r="Q360" i="34"/>
  <c r="R373" i="34"/>
  <c r="R448" i="34"/>
  <c r="P448" i="34"/>
  <c r="Q487" i="34"/>
  <c r="R504" i="34"/>
  <c r="P504" i="34"/>
  <c r="R526" i="34"/>
  <c r="Q533" i="34"/>
  <c r="Q1381" i="34"/>
  <c r="R512" i="34"/>
  <c r="P512" i="34"/>
  <c r="R365" i="34"/>
  <c r="R468" i="34"/>
  <c r="P468" i="34"/>
  <c r="R1289" i="34"/>
  <c r="P1289" i="34"/>
  <c r="Q389" i="34"/>
  <c r="R596" i="34"/>
  <c r="P596" i="34"/>
  <c r="R360" i="34"/>
  <c r="P360" i="34"/>
  <c r="Q448" i="34"/>
  <c r="R487" i="34"/>
  <c r="Q504" i="34"/>
  <c r="R533" i="34"/>
  <c r="P533" i="34"/>
  <c r="R1381" i="34"/>
  <c r="Q512" i="34"/>
  <c r="Q468" i="34"/>
  <c r="Q1289" i="34"/>
  <c r="P1943" i="34"/>
  <c r="R1944" i="34"/>
  <c r="R1943" i="34"/>
  <c r="Q1943" i="34"/>
  <c r="Q1944" i="34"/>
  <c r="P1944" i="34"/>
  <c r="R29" i="34"/>
  <c r="P29" i="34"/>
  <c r="R31" i="34"/>
  <c r="Q34" i="34"/>
  <c r="R43" i="34"/>
  <c r="Q46" i="34"/>
  <c r="R55" i="34"/>
  <c r="Q58" i="34"/>
  <c r="P35" i="34"/>
  <c r="Q44" i="34"/>
  <c r="R53" i="34"/>
  <c r="P53" i="34"/>
  <c r="Q56" i="34"/>
  <c r="P59" i="34"/>
  <c r="R47" i="34"/>
  <c r="P27" i="34"/>
  <c r="Q38" i="34"/>
  <c r="P23" i="34"/>
  <c r="Q24" i="34"/>
  <c r="R33" i="34"/>
  <c r="P33" i="34"/>
  <c r="Q36" i="34"/>
  <c r="P39" i="34"/>
  <c r="R45" i="34"/>
  <c r="P45" i="34"/>
  <c r="Q48" i="34"/>
  <c r="P51" i="34"/>
  <c r="R57" i="34"/>
  <c r="P57" i="34"/>
  <c r="Q60" i="34"/>
  <c r="Q29" i="34"/>
  <c r="R34" i="34"/>
  <c r="P34" i="34"/>
  <c r="P40" i="34"/>
  <c r="R46" i="34"/>
  <c r="P46" i="34"/>
  <c r="P52" i="34"/>
  <c r="R58" i="34"/>
  <c r="P58" i="34"/>
  <c r="Q35" i="34"/>
  <c r="R44" i="34"/>
  <c r="Q53" i="34"/>
  <c r="R56" i="34"/>
  <c r="Q59" i="34"/>
  <c r="P32" i="34"/>
  <c r="Q27" i="34"/>
  <c r="R38" i="34"/>
  <c r="P38" i="34"/>
  <c r="Q23" i="34"/>
  <c r="R24" i="34"/>
  <c r="P28" i="34"/>
  <c r="Q33" i="34"/>
  <c r="R36" i="34"/>
  <c r="Q39" i="34"/>
  <c r="Q45" i="34"/>
  <c r="R48" i="34"/>
  <c r="Q51" i="34"/>
  <c r="Q57" i="34"/>
  <c r="R60" i="34"/>
  <c r="Q50" i="34"/>
  <c r="R25" i="34"/>
  <c r="P25" i="34"/>
  <c r="P31" i="34"/>
  <c r="R37" i="34"/>
  <c r="P37" i="34"/>
  <c r="Q40" i="34"/>
  <c r="P43" i="34"/>
  <c r="R49" i="34"/>
  <c r="P49" i="34"/>
  <c r="Q52" i="34"/>
  <c r="P55" i="34"/>
  <c r="R61" i="34"/>
  <c r="P61" i="34"/>
  <c r="R35" i="34"/>
  <c r="R59" i="34"/>
  <c r="Q62" i="34"/>
  <c r="Q32" i="34"/>
  <c r="P47" i="34"/>
  <c r="R27" i="34"/>
  <c r="Q26" i="34"/>
  <c r="R41" i="34"/>
  <c r="P41" i="34"/>
  <c r="R23" i="34"/>
  <c r="Q28" i="34"/>
  <c r="Q30" i="34"/>
  <c r="R39" i="34"/>
  <c r="Q42" i="34"/>
  <c r="R51" i="34"/>
  <c r="Q54" i="34"/>
  <c r="R50" i="34"/>
  <c r="P50" i="34"/>
  <c r="Q25" i="34"/>
  <c r="Q31" i="34"/>
  <c r="Q37" i="34"/>
  <c r="R40" i="34"/>
  <c r="Q43" i="34"/>
  <c r="Q49" i="34"/>
  <c r="R52" i="34"/>
  <c r="Q55" i="34"/>
  <c r="Q61" i="34"/>
  <c r="P44" i="34"/>
  <c r="P56" i="34"/>
  <c r="R62" i="34"/>
  <c r="P62" i="34"/>
  <c r="R32" i="34"/>
  <c r="Q47" i="34"/>
  <c r="R26" i="34"/>
  <c r="P26" i="34"/>
  <c r="Q41" i="34"/>
  <c r="P24" i="34"/>
  <c r="R28" i="34"/>
  <c r="R30" i="34"/>
  <c r="P30" i="34"/>
  <c r="P36" i="34"/>
  <c r="R42" i="34"/>
  <c r="P42" i="34"/>
  <c r="P48" i="34"/>
  <c r="R54" i="34"/>
  <c r="P54" i="34"/>
  <c r="P60" i="34"/>
  <c r="R18" i="34"/>
  <c r="P18" i="34"/>
  <c r="Q18" i="34"/>
  <c r="Q1266" i="34"/>
  <c r="Q1268" i="34"/>
  <c r="P1263" i="34"/>
  <c r="Q1262" i="34"/>
  <c r="Q1264" i="34"/>
  <c r="Q1270" i="34"/>
  <c r="P1267" i="34"/>
  <c r="R1271" i="34"/>
  <c r="R1266" i="34"/>
  <c r="P1266" i="34"/>
  <c r="R1268" i="34"/>
  <c r="Q1263" i="34"/>
  <c r="R1262" i="34"/>
  <c r="P1262" i="34"/>
  <c r="R1264" i="34"/>
  <c r="R1270" i="34"/>
  <c r="P1270" i="34"/>
  <c r="Q1267" i="34"/>
  <c r="R1263" i="34"/>
  <c r="R1269" i="34"/>
  <c r="P1269" i="34"/>
  <c r="R1265" i="34"/>
  <c r="P1265" i="34"/>
  <c r="R1267" i="34"/>
  <c r="P1271" i="34"/>
  <c r="P1268" i="34"/>
  <c r="Q1269" i="34"/>
  <c r="P1264" i="34"/>
  <c r="Q1265" i="34"/>
  <c r="Q1271" i="34"/>
  <c r="P282" i="34"/>
  <c r="R747" i="34"/>
  <c r="P747" i="34"/>
  <c r="Q282" i="34"/>
  <c r="R282" i="34"/>
  <c r="Q747" i="34"/>
  <c r="P1330" i="34"/>
  <c r="Q1410" i="34"/>
  <c r="P1353" i="34"/>
  <c r="R1353" i="34"/>
  <c r="Q1333" i="34"/>
  <c r="P1357" i="34"/>
  <c r="R1357" i="34"/>
  <c r="P1354" i="34"/>
  <c r="Q1391" i="34"/>
  <c r="R1334" i="34"/>
  <c r="Q1334" i="34"/>
  <c r="P1332" i="34"/>
  <c r="R1358" i="34"/>
  <c r="P1355" i="34"/>
  <c r="P1393" i="34"/>
  <c r="R1393" i="34"/>
  <c r="Q1312" i="34"/>
  <c r="Q1394" i="34"/>
  <c r="R1335" i="34"/>
  <c r="P1412" i="34"/>
  <c r="R1412" i="34"/>
  <c r="Q1353" i="34"/>
  <c r="Q1357" i="34"/>
  <c r="Q1332" i="34"/>
  <c r="Q1393" i="34"/>
  <c r="P1312" i="34"/>
  <c r="P1376" i="34"/>
  <c r="R1376" i="34"/>
  <c r="P1413" i="34"/>
  <c r="R1332" i="34"/>
  <c r="R1355" i="34"/>
  <c r="Q1411" i="34"/>
  <c r="R1330" i="34"/>
  <c r="R1410" i="34"/>
  <c r="Q1376" i="34"/>
  <c r="R1333" i="34"/>
  <c r="R1331" i="34"/>
  <c r="Q1413" i="34"/>
  <c r="P1358" i="34"/>
  <c r="Q1355" i="34"/>
  <c r="R1411" i="34"/>
  <c r="R1394" i="34"/>
  <c r="Q1335" i="34"/>
  <c r="Q1356" i="34"/>
  <c r="Q1330" i="34"/>
  <c r="P1410" i="34"/>
  <c r="P1333" i="34"/>
  <c r="Q1354" i="34"/>
  <c r="R1391" i="34"/>
  <c r="P1334" i="34"/>
  <c r="P1411" i="34"/>
  <c r="R1312" i="34"/>
  <c r="P1394" i="34"/>
  <c r="P1335" i="34"/>
  <c r="Q1412" i="34"/>
  <c r="Q1331" i="34"/>
  <c r="P1331" i="34"/>
  <c r="R1354" i="34"/>
  <c r="P1391" i="34"/>
  <c r="R1413" i="34"/>
  <c r="Q1358" i="34"/>
  <c r="P1356" i="34"/>
  <c r="R1356" i="34"/>
  <c r="P1440" i="34"/>
  <c r="Q1439" i="34"/>
  <c r="P1439" i="34"/>
  <c r="Q1440" i="34"/>
  <c r="R1440" i="34"/>
  <c r="R1439" i="34"/>
  <c r="R1366" i="34"/>
  <c r="P1366" i="34"/>
  <c r="Q1403" i="34"/>
  <c r="R1420" i="34"/>
  <c r="P1388" i="34"/>
  <c r="Q1409" i="34"/>
  <c r="R1418" i="34"/>
  <c r="P1418" i="34"/>
  <c r="P1215" i="34"/>
  <c r="Q1226" i="34"/>
  <c r="Q1240" i="34"/>
  <c r="P1251" i="34"/>
  <c r="R1285" i="34"/>
  <c r="P1285" i="34"/>
  <c r="Q1292" i="34"/>
  <c r="P1311" i="34"/>
  <c r="Q1296" i="34"/>
  <c r="R1301" i="34"/>
  <c r="P1301" i="34"/>
  <c r="R1313" i="34"/>
  <c r="P1313" i="34"/>
  <c r="R1386" i="34"/>
  <c r="P1386" i="34"/>
  <c r="Q1433" i="34"/>
  <c r="Q1329" i="34"/>
  <c r="R1352" i="34"/>
  <c r="Q1419" i="34"/>
  <c r="R1424" i="34"/>
  <c r="Q1236" i="34"/>
  <c r="R1217" i="34"/>
  <c r="P1217" i="34"/>
  <c r="R1223" i="34"/>
  <c r="R1237" i="34"/>
  <c r="P1237" i="34"/>
  <c r="Q1248" i="34"/>
  <c r="Q1286" i="34"/>
  <c r="R1293" i="34"/>
  <c r="P1293" i="34"/>
  <c r="Q1302" i="34"/>
  <c r="R1307" i="34"/>
  <c r="Q1314" i="34"/>
  <c r="R1344" i="34"/>
  <c r="P1432" i="34"/>
  <c r="P1408" i="34"/>
  <c r="Q1385" i="34"/>
  <c r="R1390" i="34"/>
  <c r="P1390" i="34"/>
  <c r="R1416" i="34"/>
  <c r="Q1425" i="34"/>
  <c r="Q1218" i="34"/>
  <c r="Q1224" i="34"/>
  <c r="Q1238" i="34"/>
  <c r="R1273" i="34"/>
  <c r="P1273" i="34"/>
  <c r="R1283" i="34"/>
  <c r="Q1290" i="34"/>
  <c r="Q1304" i="34"/>
  <c r="Q1294" i="34"/>
  <c r="R1299" i="34"/>
  <c r="P1303" i="34"/>
  <c r="Q1308" i="34"/>
  <c r="P1315" i="34"/>
  <c r="Q1345" i="34"/>
  <c r="P1428" i="34"/>
  <c r="R1350" i="34"/>
  <c r="P1350" i="34"/>
  <c r="R1384" i="34"/>
  <c r="R1414" i="34"/>
  <c r="P1414" i="34"/>
  <c r="P1404" i="34"/>
  <c r="Q1417" i="34"/>
  <c r="R1422" i="34"/>
  <c r="P1422" i="34"/>
  <c r="R1221" i="34"/>
  <c r="P1221" i="34"/>
  <c r="R1247" i="34"/>
  <c r="P1219" i="34"/>
  <c r="P1239" i="34"/>
  <c r="R1281" i="34"/>
  <c r="P1281" i="34"/>
  <c r="Q1284" i="34"/>
  <c r="P1291" i="34"/>
  <c r="P1295" i="34"/>
  <c r="Q1300" i="34"/>
  <c r="R1305" i="34"/>
  <c r="P1305" i="34"/>
  <c r="Q1366" i="34"/>
  <c r="R1403" i="34"/>
  <c r="P1403" i="34"/>
  <c r="Q1388" i="34"/>
  <c r="R1409" i="34"/>
  <c r="Q1418" i="34"/>
  <c r="Q1215" i="34"/>
  <c r="P1272" i="34"/>
  <c r="R1226" i="34"/>
  <c r="P1226" i="34"/>
  <c r="R1240" i="34"/>
  <c r="Q1251" i="34"/>
  <c r="Q1285" i="34"/>
  <c r="R1292" i="34"/>
  <c r="Q1311" i="34"/>
  <c r="R1296" i="34"/>
  <c r="Q1301" i="34"/>
  <c r="Q1313" i="34"/>
  <c r="Q1386" i="34"/>
  <c r="R1433" i="34"/>
  <c r="P1329" i="34"/>
  <c r="P1405" i="34"/>
  <c r="P1389" i="34"/>
  <c r="R1419" i="34"/>
  <c r="P1419" i="34"/>
  <c r="P1216" i="34"/>
  <c r="R1236" i="34"/>
  <c r="Q1217" i="34"/>
  <c r="Q1237" i="34"/>
  <c r="R1248" i="34"/>
  <c r="P1252" i="34"/>
  <c r="R1286" i="34"/>
  <c r="P1286" i="34"/>
  <c r="Q1293" i="34"/>
  <c r="R1302" i="34"/>
  <c r="P1302" i="34"/>
  <c r="R1314" i="34"/>
  <c r="P1314" i="34"/>
  <c r="Q1432" i="34"/>
  <c r="P1349" i="34"/>
  <c r="Q1408" i="34"/>
  <c r="R1385" i="34"/>
  <c r="Q1390" i="34"/>
  <c r="P1421" i="34"/>
  <c r="R1425" i="34"/>
  <c r="P1220" i="34"/>
  <c r="R1218" i="34"/>
  <c r="P1218" i="34"/>
  <c r="R1224" i="34"/>
  <c r="R1238" i="34"/>
  <c r="P1238" i="34"/>
  <c r="Q1273" i="34"/>
  <c r="R1290" i="34"/>
  <c r="P1290" i="34"/>
  <c r="R1304" i="34"/>
  <c r="R1294" i="34"/>
  <c r="P1294" i="34"/>
  <c r="Q1303" i="34"/>
  <c r="R1308" i="34"/>
  <c r="Q1315" i="34"/>
  <c r="R1345" i="34"/>
  <c r="Q1428" i="34"/>
  <c r="Q1350" i="34"/>
  <c r="Q1414" i="34"/>
  <c r="Q1404" i="34"/>
  <c r="R1417" i="34"/>
  <c r="Q1422" i="34"/>
  <c r="Q1221" i="34"/>
  <c r="Q1219" i="34"/>
  <c r="Q1239" i="34"/>
  <c r="Q1281" i="34"/>
  <c r="R1284" i="34"/>
  <c r="Q1291" i="34"/>
  <c r="Q1295" i="34"/>
  <c r="R1300" i="34"/>
  <c r="Q1305" i="34"/>
  <c r="P1316" i="34"/>
  <c r="Q1351" i="34"/>
  <c r="P1420" i="34"/>
  <c r="R1388" i="34"/>
  <c r="Q1423" i="34"/>
  <c r="R1215" i="34"/>
  <c r="R1229" i="34"/>
  <c r="P1229" i="34"/>
  <c r="Q1272" i="34"/>
  <c r="Q1222" i="34"/>
  <c r="R1251" i="34"/>
  <c r="Q1282" i="34"/>
  <c r="R1311" i="34"/>
  <c r="Q1306" i="34"/>
  <c r="R1317" i="34"/>
  <c r="P1317" i="34"/>
  <c r="R1329" i="34"/>
  <c r="P1352" i="34"/>
  <c r="Q1405" i="34"/>
  <c r="R1382" i="34"/>
  <c r="P1382" i="34"/>
  <c r="Q1389" i="34"/>
  <c r="Q1415" i="34"/>
  <c r="P1424" i="34"/>
  <c r="Q1216" i="34"/>
  <c r="P1223" i="34"/>
  <c r="Q1252" i="34"/>
  <c r="Q1274" i="34"/>
  <c r="Q1298" i="34"/>
  <c r="R1297" i="34"/>
  <c r="P1297" i="34"/>
  <c r="P1307" i="34"/>
  <c r="P1344" i="34"/>
  <c r="R1432" i="34"/>
  <c r="R1434" i="34"/>
  <c r="P1434" i="34"/>
  <c r="Q1349" i="34"/>
  <c r="Q1383" i="34"/>
  <c r="R1408" i="34"/>
  <c r="P1416" i="34"/>
  <c r="Q1421" i="34"/>
  <c r="Q1220" i="34"/>
  <c r="Q1246" i="34"/>
  <c r="R1249" i="34"/>
  <c r="P1249" i="34"/>
  <c r="P1283" i="34"/>
  <c r="P1299" i="34"/>
  <c r="R1303" i="34"/>
  <c r="R1315" i="34"/>
  <c r="R1428" i="34"/>
  <c r="Q1359" i="34"/>
  <c r="P1384" i="34"/>
  <c r="Q1387" i="34"/>
  <c r="R1404" i="34"/>
  <c r="Q1214" i="34"/>
  <c r="P1247" i="34"/>
  <c r="R1219" i="34"/>
  <c r="R1225" i="34"/>
  <c r="P1225" i="34"/>
  <c r="R1239" i="34"/>
  <c r="Q1250" i="34"/>
  <c r="R1291" i="34"/>
  <c r="Q1310" i="34"/>
  <c r="R1295" i="34"/>
  <c r="R1309" i="34"/>
  <c r="P1309" i="34"/>
  <c r="Q1316" i="34"/>
  <c r="Q1343" i="34"/>
  <c r="R1351" i="34"/>
  <c r="P1351" i="34"/>
  <c r="Q1420" i="34"/>
  <c r="P1409" i="34"/>
  <c r="R1423" i="34"/>
  <c r="P1423" i="34"/>
  <c r="Q1229" i="34"/>
  <c r="R1272" i="34"/>
  <c r="R1222" i="34"/>
  <c r="P1222" i="34"/>
  <c r="P1240" i="34"/>
  <c r="R1282" i="34"/>
  <c r="P1282" i="34"/>
  <c r="P1292" i="34"/>
  <c r="P1296" i="34"/>
  <c r="R1306" i="34"/>
  <c r="P1306" i="34"/>
  <c r="Q1317" i="34"/>
  <c r="P1433" i="34"/>
  <c r="Q1352" i="34"/>
  <c r="R1405" i="34"/>
  <c r="Q1382" i="34"/>
  <c r="R1389" i="34"/>
  <c r="R1415" i="34"/>
  <c r="P1415" i="34"/>
  <c r="Q1424" i="34"/>
  <c r="R1216" i="34"/>
  <c r="P1236" i="34"/>
  <c r="Q1223" i="34"/>
  <c r="P1248" i="34"/>
  <c r="R1252" i="34"/>
  <c r="R1274" i="34"/>
  <c r="P1274" i="34"/>
  <c r="R1298" i="34"/>
  <c r="P1298" i="34"/>
  <c r="Q1297" i="34"/>
  <c r="Q1307" i="34"/>
  <c r="Q1344" i="34"/>
  <c r="Q1434" i="34"/>
  <c r="R1349" i="34"/>
  <c r="R1383" i="34"/>
  <c r="P1383" i="34"/>
  <c r="P1385" i="34"/>
  <c r="Q1416" i="34"/>
  <c r="R1421" i="34"/>
  <c r="P1425" i="34"/>
  <c r="R1220" i="34"/>
  <c r="R1246" i="34"/>
  <c r="P1246" i="34"/>
  <c r="P1224" i="34"/>
  <c r="Q1249" i="34"/>
  <c r="Q1283" i="34"/>
  <c r="P1304" i="34"/>
  <c r="Q1299" i="34"/>
  <c r="P1308" i="34"/>
  <c r="P1345" i="34"/>
  <c r="R1359" i="34"/>
  <c r="P1359" i="34"/>
  <c r="Q1384" i="34"/>
  <c r="R1387" i="34"/>
  <c r="P1387" i="34"/>
  <c r="P1417" i="34"/>
  <c r="R1214" i="34"/>
  <c r="P1214" i="34"/>
  <c r="Q1247" i="34"/>
  <c r="Q1225" i="34"/>
  <c r="R1250" i="34"/>
  <c r="P1250" i="34"/>
  <c r="P1284" i="34"/>
  <c r="R1310" i="34"/>
  <c r="P1310" i="34"/>
  <c r="P1300" i="34"/>
  <c r="Q1309" i="34"/>
  <c r="R1316" i="34"/>
  <c r="R1343" i="34"/>
  <c r="P1343" i="34"/>
  <c r="R1336" i="34"/>
  <c r="P1360" i="34"/>
  <c r="R1323" i="34"/>
  <c r="Q1324" i="34"/>
  <c r="R1362" i="34"/>
  <c r="P1362" i="34"/>
  <c r="R1321" i="34"/>
  <c r="R1360" i="34"/>
  <c r="Q1322" i="34"/>
  <c r="Q1320" i="34"/>
  <c r="R1322" i="34"/>
  <c r="R1320" i="34"/>
  <c r="P1336" i="34"/>
  <c r="Q1360" i="34"/>
  <c r="P1361" i="34"/>
  <c r="P1320" i="34"/>
  <c r="R1324" i="34"/>
  <c r="Q1362" i="34"/>
  <c r="Q1336" i="34"/>
  <c r="P1321" i="34"/>
  <c r="P1323" i="34"/>
  <c r="Q1361" i="34"/>
  <c r="Q1321" i="34"/>
  <c r="Q1323" i="34"/>
  <c r="R1361" i="34"/>
  <c r="P1322" i="34"/>
  <c r="P1324" i="34"/>
  <c r="R1277" i="34"/>
  <c r="P1277" i="34"/>
  <c r="R1103" i="34"/>
  <c r="R1275" i="34"/>
  <c r="Q1318" i="34"/>
  <c r="P1065" i="34"/>
  <c r="R1104" i="34"/>
  <c r="R1125" i="34"/>
  <c r="P1125" i="34"/>
  <c r="Q1066" i="34"/>
  <c r="R1105" i="34"/>
  <c r="Q1105" i="34"/>
  <c r="P1279" i="34"/>
  <c r="Q1276" i="34"/>
  <c r="Q1106" i="34"/>
  <c r="P1318" i="34"/>
  <c r="Q1125" i="34"/>
  <c r="P1280" i="34"/>
  <c r="P1103" i="34"/>
  <c r="Q1124" i="34"/>
  <c r="P1275" i="34"/>
  <c r="Q1278" i="34"/>
  <c r="R1065" i="34"/>
  <c r="Q1104" i="34"/>
  <c r="Q1126" i="34"/>
  <c r="R1279" i="34"/>
  <c r="Q1280" i="34"/>
  <c r="Q1102" i="34"/>
  <c r="P1102" i="34"/>
  <c r="R1106" i="34"/>
  <c r="P1139" i="34"/>
  <c r="Q1103" i="34"/>
  <c r="R1124" i="34"/>
  <c r="Q1275" i="34"/>
  <c r="R1278" i="34"/>
  <c r="P1278" i="34"/>
  <c r="P1104" i="34"/>
  <c r="P1066" i="34"/>
  <c r="P1105" i="34"/>
  <c r="R1126" i="34"/>
  <c r="P1126" i="34"/>
  <c r="P1276" i="34"/>
  <c r="R1280" i="34"/>
  <c r="R1102" i="34"/>
  <c r="Q1139" i="34"/>
  <c r="R1139" i="34"/>
  <c r="Q1277" i="34"/>
  <c r="P1124" i="34"/>
  <c r="R1318" i="34"/>
  <c r="Q1065" i="34"/>
  <c r="R1066" i="34"/>
  <c r="Q1279" i="34"/>
  <c r="R1276" i="34"/>
  <c r="P1106" i="34"/>
  <c r="R1213" i="34"/>
  <c r="P1213" i="34"/>
  <c r="Q1212" i="34"/>
  <c r="Q1213" i="34"/>
  <c r="R1212" i="34"/>
  <c r="P1212" i="34"/>
  <c r="R1374" i="34"/>
  <c r="P1374" i="34"/>
  <c r="R1375" i="34"/>
  <c r="Q1374" i="34"/>
  <c r="Q1375" i="34"/>
  <c r="P1375" i="34"/>
  <c r="P723" i="34"/>
  <c r="Q946" i="34"/>
  <c r="Q980" i="34"/>
  <c r="R721" i="34"/>
  <c r="P721" i="34"/>
  <c r="R739" i="34"/>
  <c r="Q948" i="34"/>
  <c r="R981" i="34"/>
  <c r="P1327" i="34"/>
  <c r="Q908" i="34"/>
  <c r="R957" i="34"/>
  <c r="P1319" i="34"/>
  <c r="R723" i="34"/>
  <c r="R1325" i="34"/>
  <c r="Q724" i="34"/>
  <c r="P947" i="34"/>
  <c r="P739" i="34"/>
  <c r="P981" i="34"/>
  <c r="Q722" i="34"/>
  <c r="R1319" i="34"/>
  <c r="Q1328" i="34"/>
  <c r="R958" i="34"/>
  <c r="Q1325" i="34"/>
  <c r="R724" i="34"/>
  <c r="Q947" i="34"/>
  <c r="R1326" i="34"/>
  <c r="P1326" i="34"/>
  <c r="Q981" i="34"/>
  <c r="R722" i="34"/>
  <c r="P722" i="34"/>
  <c r="Q957" i="34"/>
  <c r="Q723" i="34"/>
  <c r="R946" i="34"/>
  <c r="P958" i="34"/>
  <c r="P724" i="34"/>
  <c r="R980" i="34"/>
  <c r="P980" i="34"/>
  <c r="Q721" i="34"/>
  <c r="R948" i="34"/>
  <c r="P948" i="34"/>
  <c r="Q1327" i="34"/>
  <c r="R908" i="34"/>
  <c r="P908" i="34"/>
  <c r="Q1319" i="34"/>
  <c r="P1328" i="34"/>
  <c r="Q958" i="34"/>
  <c r="P1325" i="34"/>
  <c r="R947" i="34"/>
  <c r="Q1326" i="34"/>
  <c r="R1327" i="34"/>
  <c r="P957" i="34"/>
  <c r="R1328" i="34"/>
  <c r="P946" i="34"/>
  <c r="Q739" i="34"/>
  <c r="Q2632" i="34"/>
  <c r="R2721" i="34"/>
  <c r="P2721" i="34"/>
  <c r="Q2778" i="34"/>
  <c r="R2779" i="34"/>
  <c r="P2639" i="34"/>
  <c r="P2715" i="34"/>
  <c r="R2735" i="34"/>
  <c r="Q2754" i="34"/>
  <c r="Q2772" i="34"/>
  <c r="P2819" i="34"/>
  <c r="P2607" i="34"/>
  <c r="Q2640" i="34"/>
  <c r="Q2666" i="34"/>
  <c r="R2719" i="34"/>
  <c r="R2755" i="34"/>
  <c r="R2773" i="34"/>
  <c r="P2773" i="34"/>
  <c r="R2783" i="34"/>
  <c r="Q2798" i="34"/>
  <c r="Q2820" i="34"/>
  <c r="R2653" i="34"/>
  <c r="P2653" i="34"/>
  <c r="P2655" i="34"/>
  <c r="R2777" i="34"/>
  <c r="P2777" i="34"/>
  <c r="R2821" i="34"/>
  <c r="P2821" i="34"/>
  <c r="P2508" i="34"/>
  <c r="R2632" i="34"/>
  <c r="P2656" i="34"/>
  <c r="Q2721" i="34"/>
  <c r="R2778" i="34"/>
  <c r="P2778" i="34"/>
  <c r="P2796" i="34"/>
  <c r="P2788" i="34"/>
  <c r="Q2639" i="34"/>
  <c r="Q2715" i="34"/>
  <c r="R2754" i="34"/>
  <c r="P2754" i="34"/>
  <c r="R2772" i="34"/>
  <c r="P2780" i="34"/>
  <c r="Q2819" i="34"/>
  <c r="Q2607" i="34"/>
  <c r="R2640" i="34"/>
  <c r="R2666" i="34"/>
  <c r="P2666" i="34"/>
  <c r="P2736" i="34"/>
  <c r="Q2773" i="34"/>
  <c r="R2798" i="34"/>
  <c r="P2798" i="34"/>
  <c r="R2820" i="34"/>
  <c r="Q2653" i="34"/>
  <c r="Q2655" i="34"/>
  <c r="P2720" i="34"/>
  <c r="Q2777" i="34"/>
  <c r="P2784" i="34"/>
  <c r="Q2821" i="34"/>
  <c r="Q2508" i="34"/>
  <c r="Q2656" i="34"/>
  <c r="Q2714" i="34"/>
  <c r="Q2738" i="34"/>
  <c r="P2779" i="34"/>
  <c r="Q2796" i="34"/>
  <c r="Q2814" i="34"/>
  <c r="Q2788" i="34"/>
  <c r="Q2602" i="34"/>
  <c r="R2639" i="34"/>
  <c r="R2665" i="34"/>
  <c r="P2665" i="34"/>
  <c r="R2715" i="34"/>
  <c r="P2735" i="34"/>
  <c r="Q2780" i="34"/>
  <c r="R2797" i="34"/>
  <c r="P2797" i="34"/>
  <c r="R2819" i="34"/>
  <c r="R2649" i="34"/>
  <c r="P2649" i="34"/>
  <c r="R2607" i="34"/>
  <c r="P2719" i="34"/>
  <c r="Q2736" i="34"/>
  <c r="P2755" i="34"/>
  <c r="P2783" i="34"/>
  <c r="R2629" i="34"/>
  <c r="P2629" i="34"/>
  <c r="R2655" i="34"/>
  <c r="R2677" i="34"/>
  <c r="P2677" i="34"/>
  <c r="Q2720" i="34"/>
  <c r="R2737" i="34"/>
  <c r="P2737" i="34"/>
  <c r="Q2774" i="34"/>
  <c r="Q2784" i="34"/>
  <c r="R2813" i="34"/>
  <c r="P2813" i="34"/>
  <c r="Q2642" i="34"/>
  <c r="R2508" i="34"/>
  <c r="P2632" i="34"/>
  <c r="R2656" i="34"/>
  <c r="R2714" i="34"/>
  <c r="P2714" i="34"/>
  <c r="R2738" i="34"/>
  <c r="P2738" i="34"/>
  <c r="Q2779" i="34"/>
  <c r="R2796" i="34"/>
  <c r="R2814" i="34"/>
  <c r="P2814" i="34"/>
  <c r="R2788" i="34"/>
  <c r="R2602" i="34"/>
  <c r="P2602" i="34"/>
  <c r="Q2665" i="34"/>
  <c r="Q2735" i="34"/>
  <c r="P2772" i="34"/>
  <c r="R2780" i="34"/>
  <c r="Q2797" i="34"/>
  <c r="Q2649" i="34"/>
  <c r="P2640" i="34"/>
  <c r="Q2719" i="34"/>
  <c r="R2736" i="34"/>
  <c r="Q2755" i="34"/>
  <c r="Q2783" i="34"/>
  <c r="P2820" i="34"/>
  <c r="Q2629" i="34"/>
  <c r="Q2677" i="34"/>
  <c r="R2720" i="34"/>
  <c r="Q2737" i="34"/>
  <c r="R2774" i="34"/>
  <c r="P2774" i="34"/>
  <c r="R2784" i="34"/>
  <c r="Q2813" i="34"/>
  <c r="R2642" i="34"/>
  <c r="P2642" i="34"/>
  <c r="R14" i="34"/>
  <c r="P14" i="34"/>
  <c r="Q14" i="34"/>
  <c r="P2330" i="34"/>
  <c r="R1585" i="34"/>
  <c r="R2332" i="34"/>
  <c r="P2332" i="34"/>
  <c r="Q2031" i="34"/>
  <c r="Q2033" i="34"/>
  <c r="R2900" i="34"/>
  <c r="R877" i="34"/>
  <c r="Q877" i="34"/>
  <c r="R2902" i="34"/>
  <c r="P2902" i="34"/>
  <c r="Q2330" i="34"/>
  <c r="Q2332" i="34"/>
  <c r="R2031" i="34"/>
  <c r="R2033" i="34"/>
  <c r="P2033" i="34"/>
  <c r="Q2902" i="34"/>
  <c r="R2330" i="34"/>
  <c r="P1585" i="34"/>
  <c r="P2900" i="34"/>
  <c r="Q2221" i="34"/>
  <c r="Q1585" i="34"/>
  <c r="P2031" i="34"/>
  <c r="Q2900" i="34"/>
  <c r="P877" i="34"/>
  <c r="R2221" i="34"/>
  <c r="P2221" i="34"/>
  <c r="R1639" i="34"/>
  <c r="P1639" i="34"/>
  <c r="Q1946" i="34"/>
  <c r="Q2183" i="34"/>
  <c r="R1629" i="34"/>
  <c r="Q1636" i="34"/>
  <c r="P1677" i="34"/>
  <c r="P1757" i="34"/>
  <c r="R1761" i="34"/>
  <c r="P1524" i="34"/>
  <c r="R2046" i="34"/>
  <c r="P2050" i="34"/>
  <c r="Q2087" i="34"/>
  <c r="P2102" i="34"/>
  <c r="R2106" i="34"/>
  <c r="R2128" i="34"/>
  <c r="P2128" i="34"/>
  <c r="R2136" i="34"/>
  <c r="P2136" i="34"/>
  <c r="R2164" i="34"/>
  <c r="P2164" i="34"/>
  <c r="Q2179" i="34"/>
  <c r="Q1244" i="34"/>
  <c r="P1255" i="34"/>
  <c r="P1565" i="34"/>
  <c r="R2044" i="34"/>
  <c r="P2044" i="34"/>
  <c r="Q970" i="34"/>
  <c r="Q1032" i="34"/>
  <c r="Q1122" i="34"/>
  <c r="R1171" i="34"/>
  <c r="P1175" i="34"/>
  <c r="R1179" i="34"/>
  <c r="P1183" i="34"/>
  <c r="Q2185" i="34"/>
  <c r="R1472" i="34"/>
  <c r="R2180" i="34"/>
  <c r="P2180" i="34"/>
  <c r="R2188" i="34"/>
  <c r="P2188" i="34"/>
  <c r="Q1630" i="34"/>
  <c r="P1637" i="34"/>
  <c r="Q1674" i="34"/>
  <c r="Q1762" i="34"/>
  <c r="R1470" i="34"/>
  <c r="P1470" i="34"/>
  <c r="Q1639" i="34"/>
  <c r="P1946" i="34"/>
  <c r="R2183" i="34"/>
  <c r="P2187" i="34"/>
  <c r="R1636" i="34"/>
  <c r="P1636" i="34"/>
  <c r="Q1677" i="34"/>
  <c r="Q1757" i="34"/>
  <c r="Q1524" i="34"/>
  <c r="Q2050" i="34"/>
  <c r="R2087" i="34"/>
  <c r="Q2102" i="34"/>
  <c r="Q2128" i="34"/>
  <c r="Q2136" i="34"/>
  <c r="Q2164" i="34"/>
  <c r="R2179" i="34"/>
  <c r="P1337" i="34"/>
  <c r="R1244" i="34"/>
  <c r="Q1255" i="34"/>
  <c r="Q1936" i="34"/>
  <c r="P1936" i="34"/>
  <c r="Q1565" i="34"/>
  <c r="Q2044" i="34"/>
  <c r="R970" i="34"/>
  <c r="P974" i="34"/>
  <c r="R1032" i="34"/>
  <c r="P1032" i="34"/>
  <c r="R1122" i="34"/>
  <c r="P1122" i="34"/>
  <c r="Q1175" i="34"/>
  <c r="Q1183" i="34"/>
  <c r="R2185" i="34"/>
  <c r="P2185" i="34"/>
  <c r="Q2180" i="34"/>
  <c r="Q2188" i="34"/>
  <c r="R1630" i="34"/>
  <c r="Q1637" i="34"/>
  <c r="R1674" i="34"/>
  <c r="P1678" i="34"/>
  <c r="P1758" i="34"/>
  <c r="R1762" i="34"/>
  <c r="Q1470" i="34"/>
  <c r="Q2189" i="34"/>
  <c r="R1946" i="34"/>
  <c r="Q2187" i="34"/>
  <c r="P1629" i="34"/>
  <c r="Q1648" i="34"/>
  <c r="R1677" i="34"/>
  <c r="R1683" i="34"/>
  <c r="P1683" i="34"/>
  <c r="R1757" i="34"/>
  <c r="P1761" i="34"/>
  <c r="R1524" i="34"/>
  <c r="P2046" i="34"/>
  <c r="R2050" i="34"/>
  <c r="R2102" i="34"/>
  <c r="P2106" i="34"/>
  <c r="R2132" i="34"/>
  <c r="P2132" i="34"/>
  <c r="R2160" i="34"/>
  <c r="P2160" i="34"/>
  <c r="Q1337" i="34"/>
  <c r="R1255" i="34"/>
  <c r="R1406" i="34"/>
  <c r="P1406" i="34"/>
  <c r="R1936" i="34"/>
  <c r="Q1479" i="34"/>
  <c r="R1565" i="34"/>
  <c r="R1751" i="34"/>
  <c r="P1751" i="34"/>
  <c r="Q974" i="34"/>
  <c r="Q1028" i="34"/>
  <c r="Q1118" i="34"/>
  <c r="P1171" i="34"/>
  <c r="R1175" i="34"/>
  <c r="P1179" i="34"/>
  <c r="R1183" i="34"/>
  <c r="Q3243" i="34"/>
  <c r="P1472" i="34"/>
  <c r="R2184" i="34"/>
  <c r="P2184" i="34"/>
  <c r="R1637" i="34"/>
  <c r="Q1678" i="34"/>
  <c r="Q1684" i="34"/>
  <c r="Q1758" i="34"/>
  <c r="R2189" i="34"/>
  <c r="P2189" i="34"/>
  <c r="P2183" i="34"/>
  <c r="R2187" i="34"/>
  <c r="Q1629" i="34"/>
  <c r="R1648" i="34"/>
  <c r="P1648" i="34"/>
  <c r="Q1683" i="34"/>
  <c r="Q1761" i="34"/>
  <c r="Q2046" i="34"/>
  <c r="P2087" i="34"/>
  <c r="Q2106" i="34"/>
  <c r="Q2132" i="34"/>
  <c r="Q2160" i="34"/>
  <c r="P2179" i="34"/>
  <c r="R1337" i="34"/>
  <c r="P1244" i="34"/>
  <c r="Q1406" i="34"/>
  <c r="R1479" i="34"/>
  <c r="P1479" i="34"/>
  <c r="Q1751" i="34"/>
  <c r="P970" i="34"/>
  <c r="R974" i="34"/>
  <c r="R1028" i="34"/>
  <c r="P1028" i="34"/>
  <c r="R1118" i="34"/>
  <c r="P1118" i="34"/>
  <c r="Q1171" i="34"/>
  <c r="Q1179" i="34"/>
  <c r="R3243" i="34"/>
  <c r="P3243" i="34"/>
  <c r="Q1472" i="34"/>
  <c r="Q2184" i="34"/>
  <c r="P1630" i="34"/>
  <c r="P1674" i="34"/>
  <c r="R1678" i="34"/>
  <c r="R1684" i="34"/>
  <c r="P1684" i="34"/>
  <c r="R1758" i="34"/>
  <c r="P1762" i="34"/>
  <c r="P2047" i="34"/>
  <c r="R2051" i="34"/>
  <c r="P2099" i="34"/>
  <c r="R2103" i="34"/>
  <c r="P2107" i="34"/>
  <c r="R2133" i="34"/>
  <c r="P2133" i="34"/>
  <c r="R2161" i="34"/>
  <c r="P2161" i="34"/>
  <c r="R1186" i="34"/>
  <c r="P1186" i="34"/>
  <c r="Q1245" i="34"/>
  <c r="R1256" i="34"/>
  <c r="R1407" i="34"/>
  <c r="P1407" i="34"/>
  <c r="P1937" i="34"/>
  <c r="Q1480" i="34"/>
  <c r="R1566" i="34"/>
  <c r="R1752" i="34"/>
  <c r="P1752" i="34"/>
  <c r="Q971" i="34"/>
  <c r="R978" i="34"/>
  <c r="Q1029" i="34"/>
  <c r="Q1119" i="34"/>
  <c r="P1172" i="34"/>
  <c r="R1176" i="34"/>
  <c r="P1180" i="34"/>
  <c r="R1184" i="34"/>
  <c r="R2181" i="34"/>
  <c r="P2181" i="34"/>
  <c r="P1638" i="34"/>
  <c r="Q1681" i="34"/>
  <c r="Q1759" i="34"/>
  <c r="R1471" i="34"/>
  <c r="P1471" i="34"/>
  <c r="Q2052" i="34"/>
  <c r="Q2104" i="34"/>
  <c r="Q2130" i="34"/>
  <c r="Q2158" i="34"/>
  <c r="R2177" i="34"/>
  <c r="P2177" i="34"/>
  <c r="R1339" i="34"/>
  <c r="P1339" i="34"/>
  <c r="Q1257" i="34"/>
  <c r="P1477" i="34"/>
  <c r="Q1627" i="34"/>
  <c r="R2023" i="34"/>
  <c r="R968" i="34"/>
  <c r="P968" i="34"/>
  <c r="P1026" i="34"/>
  <c r="R1030" i="34"/>
  <c r="P1034" i="34"/>
  <c r="R1120" i="34"/>
  <c r="Q1129" i="34"/>
  <c r="Q1177" i="34"/>
  <c r="Q1185" i="34"/>
  <c r="R148" i="34"/>
  <c r="R1640" i="34"/>
  <c r="P1640" i="34"/>
  <c r="Q2186" i="34"/>
  <c r="Q1635" i="34"/>
  <c r="R1676" i="34"/>
  <c r="P1676" i="34"/>
  <c r="R1682" i="34"/>
  <c r="R1756" i="34"/>
  <c r="P1756" i="34"/>
  <c r="R1523" i="34"/>
  <c r="P1523" i="34"/>
  <c r="R2049" i="34"/>
  <c r="P2049" i="34"/>
  <c r="R2101" i="34"/>
  <c r="P2101" i="34"/>
  <c r="R2109" i="34"/>
  <c r="P2109" i="34"/>
  <c r="R2131" i="34"/>
  <c r="P2135" i="34"/>
  <c r="R2159" i="34"/>
  <c r="P2163" i="34"/>
  <c r="P1188" i="34"/>
  <c r="R1254" i="34"/>
  <c r="P1254" i="34"/>
  <c r="R1427" i="34"/>
  <c r="P1427" i="34"/>
  <c r="P1513" i="34"/>
  <c r="Q2024" i="34"/>
  <c r="Q973" i="34"/>
  <c r="Q1031" i="34"/>
  <c r="Q1121" i="34"/>
  <c r="R1174" i="34"/>
  <c r="P1174" i="34"/>
  <c r="R1182" i="34"/>
  <c r="P1182" i="34"/>
  <c r="R2460" i="34"/>
  <c r="R1977" i="34"/>
  <c r="P1977" i="34"/>
  <c r="Q2047" i="34"/>
  <c r="Q2099" i="34"/>
  <c r="Q2107" i="34"/>
  <c r="Q2129" i="34"/>
  <c r="Q2157" i="34"/>
  <c r="Q2165" i="34"/>
  <c r="R1338" i="34"/>
  <c r="P1338" i="34"/>
  <c r="R1937" i="34"/>
  <c r="Q1937" i="34"/>
  <c r="R1480" i="34"/>
  <c r="R967" i="34"/>
  <c r="P967" i="34"/>
  <c r="R1029" i="34"/>
  <c r="P1033" i="34"/>
  <c r="R1119" i="34"/>
  <c r="P1123" i="34"/>
  <c r="Q1172" i="34"/>
  <c r="Q1180" i="34"/>
  <c r="R1631" i="34"/>
  <c r="P1631" i="34"/>
  <c r="Q1638" i="34"/>
  <c r="R1675" i="34"/>
  <c r="P1675" i="34"/>
  <c r="R1681" i="34"/>
  <c r="R1755" i="34"/>
  <c r="P1755" i="34"/>
  <c r="R1522" i="34"/>
  <c r="P1522" i="34"/>
  <c r="R2048" i="34"/>
  <c r="P2048" i="34"/>
  <c r="R2100" i="34"/>
  <c r="P2100" i="34"/>
  <c r="R2108" i="34"/>
  <c r="P2108" i="34"/>
  <c r="R2130" i="34"/>
  <c r="P2134" i="34"/>
  <c r="R2158" i="34"/>
  <c r="P2162" i="34"/>
  <c r="P1187" i="34"/>
  <c r="R1253" i="34"/>
  <c r="P1253" i="34"/>
  <c r="R1426" i="34"/>
  <c r="P1426" i="34"/>
  <c r="Q1477" i="34"/>
  <c r="P1512" i="34"/>
  <c r="Q972" i="34"/>
  <c r="Q1026" i="34"/>
  <c r="Q1034" i="34"/>
  <c r="R1173" i="34"/>
  <c r="P1173" i="34"/>
  <c r="R1181" i="34"/>
  <c r="P1181" i="34"/>
  <c r="P2182" i="34"/>
  <c r="R2186" i="34"/>
  <c r="P2190" i="34"/>
  <c r="R1647" i="34"/>
  <c r="P1647" i="34"/>
  <c r="Q1760" i="34"/>
  <c r="Q2045" i="34"/>
  <c r="P2086" i="34"/>
  <c r="Q2105" i="34"/>
  <c r="Q2135" i="34"/>
  <c r="Q2163" i="34"/>
  <c r="P2178" i="34"/>
  <c r="Q1188" i="34"/>
  <c r="P1243" i="34"/>
  <c r="Q1258" i="34"/>
  <c r="R1478" i="34"/>
  <c r="P1478" i="34"/>
  <c r="Q1513" i="34"/>
  <c r="Q1628" i="34"/>
  <c r="P969" i="34"/>
  <c r="R973" i="34"/>
  <c r="R1027" i="34"/>
  <c r="P1027" i="34"/>
  <c r="R1117" i="34"/>
  <c r="P1117" i="34"/>
  <c r="Q1130" i="34"/>
  <c r="Q1178" i="34"/>
  <c r="P1978" i="34"/>
  <c r="R2047" i="34"/>
  <c r="P2051" i="34"/>
  <c r="R2099" i="34"/>
  <c r="P2103" i="34"/>
  <c r="R2107" i="34"/>
  <c r="R2129" i="34"/>
  <c r="P2129" i="34"/>
  <c r="R2157" i="34"/>
  <c r="P2157" i="34"/>
  <c r="R2165" i="34"/>
  <c r="P2165" i="34"/>
  <c r="Q1338" i="34"/>
  <c r="P1256" i="34"/>
  <c r="P1566" i="34"/>
  <c r="Q967" i="34"/>
  <c r="P978" i="34"/>
  <c r="Q1033" i="34"/>
  <c r="Q1123" i="34"/>
  <c r="R1172" i="34"/>
  <c r="P1176" i="34"/>
  <c r="R1180" i="34"/>
  <c r="P1184" i="34"/>
  <c r="Q1631" i="34"/>
  <c r="R1638" i="34"/>
  <c r="Q1675" i="34"/>
  <c r="Q1755" i="34"/>
  <c r="Q1522" i="34"/>
  <c r="Q2048" i="34"/>
  <c r="Q2100" i="34"/>
  <c r="Q2108" i="34"/>
  <c r="Q2134" i="34"/>
  <c r="Q2162" i="34"/>
  <c r="Q1187" i="34"/>
  <c r="Q1253" i="34"/>
  <c r="Q1426" i="34"/>
  <c r="R1477" i="34"/>
  <c r="Q1512" i="34"/>
  <c r="P2023" i="34"/>
  <c r="R972" i="34"/>
  <c r="P972" i="34"/>
  <c r="R1026" i="34"/>
  <c r="P1030" i="34"/>
  <c r="R1034" i="34"/>
  <c r="P1120" i="34"/>
  <c r="Q1173" i="34"/>
  <c r="Q1181" i="34"/>
  <c r="P148" i="34"/>
  <c r="Q2182" i="34"/>
  <c r="Q2190" i="34"/>
  <c r="Q1647" i="34"/>
  <c r="P1682" i="34"/>
  <c r="R1760" i="34"/>
  <c r="P1760" i="34"/>
  <c r="R2045" i="34"/>
  <c r="P2045" i="34"/>
  <c r="Q2086" i="34"/>
  <c r="R2105" i="34"/>
  <c r="P2105" i="34"/>
  <c r="P2131" i="34"/>
  <c r="R2135" i="34"/>
  <c r="P2159" i="34"/>
  <c r="R2163" i="34"/>
  <c r="Q2178" i="34"/>
  <c r="R1188" i="34"/>
  <c r="Q1243" i="34"/>
  <c r="R1258" i="34"/>
  <c r="P1258" i="34"/>
  <c r="Q1478" i="34"/>
  <c r="R1513" i="34"/>
  <c r="R1628" i="34"/>
  <c r="P1628" i="34"/>
  <c r="Q969" i="34"/>
  <c r="Q1027" i="34"/>
  <c r="Q1117" i="34"/>
  <c r="R1130" i="34"/>
  <c r="P1130" i="34"/>
  <c r="R1178" i="34"/>
  <c r="P1178" i="34"/>
  <c r="P2460" i="34"/>
  <c r="Q1978" i="34"/>
  <c r="Q2051" i="34"/>
  <c r="Q2103" i="34"/>
  <c r="Q2133" i="34"/>
  <c r="Q2161" i="34"/>
  <c r="Q1186" i="34"/>
  <c r="R1245" i="34"/>
  <c r="P1245" i="34"/>
  <c r="Q1256" i="34"/>
  <c r="Q1407" i="34"/>
  <c r="P1480" i="34"/>
  <c r="Q1566" i="34"/>
  <c r="Q1752" i="34"/>
  <c r="R971" i="34"/>
  <c r="P971" i="34"/>
  <c r="Q978" i="34"/>
  <c r="P1029" i="34"/>
  <c r="R1033" i="34"/>
  <c r="P1119" i="34"/>
  <c r="R1123" i="34"/>
  <c r="Q1176" i="34"/>
  <c r="Q1184" i="34"/>
  <c r="Q2181" i="34"/>
  <c r="P1681" i="34"/>
  <c r="R1759" i="34"/>
  <c r="P1759" i="34"/>
  <c r="Q1471" i="34"/>
  <c r="R2052" i="34"/>
  <c r="P2052" i="34"/>
  <c r="R2104" i="34"/>
  <c r="P2104" i="34"/>
  <c r="P2130" i="34"/>
  <c r="R2134" i="34"/>
  <c r="P2158" i="34"/>
  <c r="R2162" i="34"/>
  <c r="Q2177" i="34"/>
  <c r="R1187" i="34"/>
  <c r="Q1339" i="34"/>
  <c r="R1257" i="34"/>
  <c r="P1257" i="34"/>
  <c r="R1512" i="34"/>
  <c r="R1627" i="34"/>
  <c r="P1627" i="34"/>
  <c r="Q2023" i="34"/>
  <c r="Q968" i="34"/>
  <c r="Q1030" i="34"/>
  <c r="Q1120" i="34"/>
  <c r="R1129" i="34"/>
  <c r="P1129" i="34"/>
  <c r="R1177" i="34"/>
  <c r="P1177" i="34"/>
  <c r="R1185" i="34"/>
  <c r="P1185" i="34"/>
  <c r="Q148" i="34"/>
  <c r="Q1640" i="34"/>
  <c r="R2182" i="34"/>
  <c r="P2186" i="34"/>
  <c r="R2190" i="34"/>
  <c r="R1635" i="34"/>
  <c r="P1635" i="34"/>
  <c r="Q1676" i="34"/>
  <c r="Q1682" i="34"/>
  <c r="Q1756" i="34"/>
  <c r="Q1523" i="34"/>
  <c r="Q2049" i="34"/>
  <c r="R2086" i="34"/>
  <c r="Q2101" i="34"/>
  <c r="Q2109" i="34"/>
  <c r="Q2131" i="34"/>
  <c r="Q2159" i="34"/>
  <c r="R2178" i="34"/>
  <c r="R1243" i="34"/>
  <c r="Q1254" i="34"/>
  <c r="Q1427" i="34"/>
  <c r="R2024" i="34"/>
  <c r="P2024" i="34"/>
  <c r="R969" i="34"/>
  <c r="P973" i="34"/>
  <c r="R1031" i="34"/>
  <c r="P1031" i="34"/>
  <c r="R1121" i="34"/>
  <c r="P1121" i="34"/>
  <c r="Q1174" i="34"/>
  <c r="Q1182" i="34"/>
  <c r="Q2460" i="34"/>
  <c r="Q1977" i="34"/>
  <c r="R1978" i="34"/>
  <c r="R1979" i="34"/>
  <c r="Q1976" i="34"/>
  <c r="P1979" i="34"/>
  <c r="Q1979" i="34"/>
  <c r="R1976" i="34"/>
  <c r="P1976" i="34"/>
  <c r="Q592" i="34"/>
  <c r="R603" i="34"/>
  <c r="P603" i="34"/>
  <c r="Q560" i="34"/>
  <c r="Q570" i="34"/>
  <c r="Q578" i="34"/>
  <c r="P1203" i="34"/>
  <c r="R153" i="34"/>
  <c r="P153" i="34"/>
  <c r="Q499" i="34"/>
  <c r="R508" i="34"/>
  <c r="P508" i="34"/>
  <c r="R520" i="34"/>
  <c r="P520" i="34"/>
  <c r="R534" i="34"/>
  <c r="P538" i="34"/>
  <c r="P617" i="34"/>
  <c r="P625" i="34"/>
  <c r="Q702" i="34"/>
  <c r="R715" i="34"/>
  <c r="R807" i="34"/>
  <c r="R817" i="34"/>
  <c r="P817" i="34"/>
  <c r="P961" i="34"/>
  <c r="R983" i="34"/>
  <c r="P983" i="34"/>
  <c r="Q1006" i="34"/>
  <c r="R1039" i="34"/>
  <c r="P1039" i="34"/>
  <c r="R1047" i="34"/>
  <c r="P1047" i="34"/>
  <c r="Q1090" i="34"/>
  <c r="P1090" i="34"/>
  <c r="P593" i="34"/>
  <c r="R891" i="34"/>
  <c r="P891" i="34"/>
  <c r="P561" i="34"/>
  <c r="R575" i="34"/>
  <c r="P575" i="34"/>
  <c r="R583" i="34"/>
  <c r="P583" i="34"/>
  <c r="R589" i="34"/>
  <c r="P482" i="34"/>
  <c r="Q513" i="34"/>
  <c r="Q521" i="34"/>
  <c r="Q535" i="34"/>
  <c r="R621" i="34"/>
  <c r="P703" i="34"/>
  <c r="Q716" i="34"/>
  <c r="R777" i="34"/>
  <c r="P777" i="34"/>
  <c r="Q808" i="34"/>
  <c r="Q166" i="34"/>
  <c r="R953" i="34"/>
  <c r="Q984" i="34"/>
  <c r="Q1040" i="34"/>
  <c r="Q1048" i="34"/>
  <c r="R1092" i="34"/>
  <c r="P1091" i="34"/>
  <c r="Q590" i="34"/>
  <c r="P597" i="34"/>
  <c r="R601" i="34"/>
  <c r="Q892" i="34"/>
  <c r="R554" i="34"/>
  <c r="Q568" i="34"/>
  <c r="Q576" i="34"/>
  <c r="Q584" i="34"/>
  <c r="R1205" i="34"/>
  <c r="P1205" i="34"/>
  <c r="R151" i="34"/>
  <c r="Q497" i="34"/>
  <c r="R506" i="34"/>
  <c r="P514" i="34"/>
  <c r="R518" i="34"/>
  <c r="P522" i="34"/>
  <c r="R540" i="34"/>
  <c r="P540" i="34"/>
  <c r="R627" i="34"/>
  <c r="P627" i="34"/>
  <c r="R633" i="34"/>
  <c r="R713" i="34"/>
  <c r="P713" i="34"/>
  <c r="R767" i="34"/>
  <c r="P783" i="34"/>
  <c r="R815" i="34"/>
  <c r="P167" i="34"/>
  <c r="Q954" i="34"/>
  <c r="R1037" i="34"/>
  <c r="R1003" i="34"/>
  <c r="P1003" i="34"/>
  <c r="R592" i="34"/>
  <c r="P592" i="34"/>
  <c r="Q603" i="34"/>
  <c r="R560" i="34"/>
  <c r="P560" i="34"/>
  <c r="R570" i="34"/>
  <c r="P574" i="34"/>
  <c r="R578" i="34"/>
  <c r="P582" i="34"/>
  <c r="Q1203" i="34"/>
  <c r="Q153" i="34"/>
  <c r="R499" i="34"/>
  <c r="Q508" i="34"/>
  <c r="Q520" i="34"/>
  <c r="Q538" i="34"/>
  <c r="Q617" i="34"/>
  <c r="Q625" i="34"/>
  <c r="R702" i="34"/>
  <c r="P702" i="34"/>
  <c r="P776" i="34"/>
  <c r="Q817" i="34"/>
  <c r="Q961" i="34"/>
  <c r="Q983" i="34"/>
  <c r="R1006" i="34"/>
  <c r="Q1039" i="34"/>
  <c r="Q1047" i="34"/>
  <c r="R1090" i="34"/>
  <c r="Q593" i="34"/>
  <c r="Q891" i="34"/>
  <c r="Q561" i="34"/>
  <c r="Q575" i="34"/>
  <c r="Q583" i="34"/>
  <c r="P1204" i="34"/>
  <c r="Q482" i="34"/>
  <c r="R513" i="34"/>
  <c r="P513" i="34"/>
  <c r="R521" i="34"/>
  <c r="P521" i="34"/>
  <c r="R535" i="34"/>
  <c r="P539" i="34"/>
  <c r="P622" i="34"/>
  <c r="P626" i="34"/>
  <c r="Q703" i="34"/>
  <c r="R716" i="34"/>
  <c r="Q777" i="34"/>
  <c r="R808" i="34"/>
  <c r="R166" i="34"/>
  <c r="P166" i="34"/>
  <c r="P962" i="34"/>
  <c r="R984" i="34"/>
  <c r="P984" i="34"/>
  <c r="R1040" i="34"/>
  <c r="P1040" i="34"/>
  <c r="R1048" i="34"/>
  <c r="P1048" i="34"/>
  <c r="Q1091" i="34"/>
  <c r="R590" i="34"/>
  <c r="Q597" i="34"/>
  <c r="R892" i="34"/>
  <c r="P892" i="34"/>
  <c r="R568" i="34"/>
  <c r="P568" i="34"/>
  <c r="R576" i="34"/>
  <c r="P576" i="34"/>
  <c r="R584" i="34"/>
  <c r="P584" i="34"/>
  <c r="Q1205" i="34"/>
  <c r="R497" i="34"/>
  <c r="P497" i="34"/>
  <c r="Q514" i="34"/>
  <c r="Q522" i="34"/>
  <c r="Q540" i="34"/>
  <c r="P618" i="34"/>
  <c r="Q627" i="34"/>
  <c r="Q713" i="34"/>
  <c r="Q783" i="34"/>
  <c r="Q167" i="34"/>
  <c r="R954" i="34"/>
  <c r="P982" i="34"/>
  <c r="Q1003" i="34"/>
  <c r="R599" i="34"/>
  <c r="P599" i="34"/>
  <c r="R552" i="34"/>
  <c r="P552" i="34"/>
  <c r="Q574" i="34"/>
  <c r="Q582" i="34"/>
  <c r="Q588" i="34"/>
  <c r="R1203" i="34"/>
  <c r="R149" i="34"/>
  <c r="P149" i="34"/>
  <c r="R516" i="34"/>
  <c r="P516" i="34"/>
  <c r="P534" i="34"/>
  <c r="R538" i="34"/>
  <c r="P550" i="34"/>
  <c r="R550" i="34"/>
  <c r="R617" i="34"/>
  <c r="Q620" i="34"/>
  <c r="R625" i="34"/>
  <c r="R631" i="34"/>
  <c r="P631" i="34"/>
  <c r="P715" i="34"/>
  <c r="Q776" i="34"/>
  <c r="P807" i="34"/>
  <c r="Q952" i="34"/>
  <c r="R961" i="34"/>
  <c r="R1035" i="34"/>
  <c r="P1035" i="34"/>
  <c r="R1043" i="34"/>
  <c r="P1043" i="34"/>
  <c r="P1089" i="34"/>
  <c r="R1051" i="34"/>
  <c r="P1051" i="34"/>
  <c r="R593" i="34"/>
  <c r="Q600" i="34"/>
  <c r="Q553" i="34"/>
  <c r="P553" i="34"/>
  <c r="R561" i="34"/>
  <c r="R571" i="34"/>
  <c r="P571" i="34"/>
  <c r="R579" i="34"/>
  <c r="P579" i="34"/>
  <c r="P589" i="34"/>
  <c r="Q1204" i="34"/>
  <c r="Q150" i="34"/>
  <c r="R482" i="34"/>
  <c r="Q505" i="34"/>
  <c r="Q517" i="34"/>
  <c r="Q539" i="34"/>
  <c r="R559" i="34"/>
  <c r="P559" i="34"/>
  <c r="Q622" i="34"/>
  <c r="P621" i="34"/>
  <c r="Q626" i="34"/>
  <c r="Q632" i="34"/>
  <c r="R703" i="34"/>
  <c r="P953" i="34"/>
  <c r="Q962" i="34"/>
  <c r="Q1036" i="34"/>
  <c r="R1007" i="34"/>
  <c r="P1007" i="34"/>
  <c r="Q1044" i="34"/>
  <c r="Q1092" i="34"/>
  <c r="R1091" i="34"/>
  <c r="R597" i="34"/>
  <c r="P601" i="34"/>
  <c r="P554" i="34"/>
  <c r="Q572" i="34"/>
  <c r="Q580" i="34"/>
  <c r="Q818" i="34"/>
  <c r="P151" i="34"/>
  <c r="P506" i="34"/>
  <c r="R514" i="34"/>
  <c r="P518" i="34"/>
  <c r="R522" i="34"/>
  <c r="R536" i="34"/>
  <c r="P536" i="34"/>
  <c r="R615" i="34"/>
  <c r="P615" i="34"/>
  <c r="Q618" i="34"/>
  <c r="R623" i="34"/>
  <c r="P623" i="34"/>
  <c r="P633" i="34"/>
  <c r="P767" i="34"/>
  <c r="R783" i="34"/>
  <c r="P815" i="34"/>
  <c r="R167" i="34"/>
  <c r="Q982" i="34"/>
  <c r="P1037" i="34"/>
  <c r="Q1008" i="34"/>
  <c r="Q599" i="34"/>
  <c r="Q552" i="34"/>
  <c r="P570" i="34"/>
  <c r="R574" i="34"/>
  <c r="P578" i="34"/>
  <c r="R582" i="34"/>
  <c r="R588" i="34"/>
  <c r="P588" i="34"/>
  <c r="Q149" i="34"/>
  <c r="P499" i="34"/>
  <c r="Q516" i="34"/>
  <c r="Q534" i="34"/>
  <c r="Q550" i="34"/>
  <c r="R620" i="34"/>
  <c r="P620" i="34"/>
  <c r="Q631" i="34"/>
  <c r="Q715" i="34"/>
  <c r="R776" i="34"/>
  <c r="Q807" i="34"/>
  <c r="R952" i="34"/>
  <c r="P952" i="34"/>
  <c r="Q1035" i="34"/>
  <c r="P1006" i="34"/>
  <c r="Q1043" i="34"/>
  <c r="R1089" i="34"/>
  <c r="Q1089" i="34"/>
  <c r="Q1051" i="34"/>
  <c r="R600" i="34"/>
  <c r="P600" i="34"/>
  <c r="R553" i="34"/>
  <c r="Q571" i="34"/>
  <c r="Q579" i="34"/>
  <c r="Q589" i="34"/>
  <c r="R1204" i="34"/>
  <c r="R150" i="34"/>
  <c r="P150" i="34"/>
  <c r="R505" i="34"/>
  <c r="P505" i="34"/>
  <c r="R517" i="34"/>
  <c r="P517" i="34"/>
  <c r="P535" i="34"/>
  <c r="R539" i="34"/>
  <c r="Q559" i="34"/>
  <c r="R622" i="34"/>
  <c r="Q621" i="34"/>
  <c r="R626" i="34"/>
  <c r="R632" i="34"/>
  <c r="P632" i="34"/>
  <c r="P716" i="34"/>
  <c r="P808" i="34"/>
  <c r="Q953" i="34"/>
  <c r="R962" i="34"/>
  <c r="R1036" i="34"/>
  <c r="P1036" i="34"/>
  <c r="Q1007" i="34"/>
  <c r="R1044" i="34"/>
  <c r="P1044" i="34"/>
  <c r="P1092" i="34"/>
  <c r="P590" i="34"/>
  <c r="Q601" i="34"/>
  <c r="Q554" i="34"/>
  <c r="R572" i="34"/>
  <c r="P572" i="34"/>
  <c r="R580" i="34"/>
  <c r="P580" i="34"/>
  <c r="R818" i="34"/>
  <c r="P818" i="34"/>
  <c r="Q151" i="34"/>
  <c r="Q506" i="34"/>
  <c r="Q518" i="34"/>
  <c r="Q536" i="34"/>
  <c r="Q615" i="34"/>
  <c r="R618" i="34"/>
  <c r="Q623" i="34"/>
  <c r="Q633" i="34"/>
  <c r="Q767" i="34"/>
  <c r="Q815" i="34"/>
  <c r="P954" i="34"/>
  <c r="R982" i="34"/>
  <c r="Q1037" i="34"/>
  <c r="R1008" i="34"/>
  <c r="P1008" i="34"/>
  <c r="Q1045" i="34"/>
  <c r="Q1127" i="34"/>
  <c r="Q591" i="34"/>
  <c r="R598" i="34"/>
  <c r="P602" i="34"/>
  <c r="P555" i="34"/>
  <c r="Q573" i="34"/>
  <c r="Q581" i="34"/>
  <c r="R1202" i="34"/>
  <c r="P1202" i="34"/>
  <c r="P152" i="34"/>
  <c r="P507" i="34"/>
  <c r="R515" i="34"/>
  <c r="P519" i="34"/>
  <c r="R523" i="34"/>
  <c r="R537" i="34"/>
  <c r="P537" i="34"/>
  <c r="R616" i="34"/>
  <c r="P616" i="34"/>
  <c r="R624" i="34"/>
  <c r="P624" i="34"/>
  <c r="P634" i="34"/>
  <c r="P768" i="34"/>
  <c r="R784" i="34"/>
  <c r="P816" i="34"/>
  <c r="R168" i="34"/>
  <c r="R960" i="34"/>
  <c r="P960" i="34"/>
  <c r="R1002" i="34"/>
  <c r="P1038" i="34"/>
  <c r="Q1009" i="34"/>
  <c r="R1042" i="34"/>
  <c r="P1046" i="34"/>
  <c r="R1086" i="34"/>
  <c r="P1082" i="34"/>
  <c r="R1050" i="34"/>
  <c r="P1041" i="34"/>
  <c r="R1045" i="34"/>
  <c r="P1049" i="34"/>
  <c r="R1127" i="34"/>
  <c r="P1107" i="34"/>
  <c r="Q602" i="34"/>
  <c r="Q551" i="34"/>
  <c r="Q555" i="34"/>
  <c r="P569" i="34"/>
  <c r="R573" i="34"/>
  <c r="P577" i="34"/>
  <c r="R581" i="34"/>
  <c r="R587" i="34"/>
  <c r="P587" i="34"/>
  <c r="R861" i="34"/>
  <c r="P861" i="34"/>
  <c r="Q152" i="34"/>
  <c r="P498" i="34"/>
  <c r="Q507" i="34"/>
  <c r="Q519" i="34"/>
  <c r="Q541" i="34"/>
  <c r="R619" i="34"/>
  <c r="P619" i="34"/>
  <c r="Q628" i="34"/>
  <c r="Q634" i="34"/>
  <c r="Q714" i="34"/>
  <c r="Q768" i="34"/>
  <c r="Q816" i="34"/>
  <c r="Q1038" i="34"/>
  <c r="Q1004" i="34"/>
  <c r="R1009" i="34"/>
  <c r="Q1046" i="34"/>
  <c r="Q1082" i="34"/>
  <c r="Q1041" i="34"/>
  <c r="Q1049" i="34"/>
  <c r="Q1107" i="34"/>
  <c r="P598" i="34"/>
  <c r="R602" i="34"/>
  <c r="P551" i="34"/>
  <c r="Q569" i="34"/>
  <c r="Q577" i="34"/>
  <c r="Q587" i="34"/>
  <c r="Q861" i="34"/>
  <c r="R152" i="34"/>
  <c r="Q498" i="34"/>
  <c r="R507" i="34"/>
  <c r="P515" i="34"/>
  <c r="R519" i="34"/>
  <c r="P523" i="34"/>
  <c r="R541" i="34"/>
  <c r="P541" i="34"/>
  <c r="Q619" i="34"/>
  <c r="R628" i="34"/>
  <c r="P628" i="34"/>
  <c r="R634" i="34"/>
  <c r="R714" i="34"/>
  <c r="P714" i="34"/>
  <c r="R768" i="34"/>
  <c r="P784" i="34"/>
  <c r="R816" i="34"/>
  <c r="P168" i="34"/>
  <c r="P1002" i="34"/>
  <c r="R1038" i="34"/>
  <c r="R1004" i="34"/>
  <c r="P1004" i="34"/>
  <c r="P1042" i="34"/>
  <c r="R1046" i="34"/>
  <c r="P1086" i="34"/>
  <c r="R1082" i="34"/>
  <c r="P1050" i="34"/>
  <c r="R1041" i="34"/>
  <c r="P1045" i="34"/>
  <c r="R1049" i="34"/>
  <c r="P1127" i="34"/>
  <c r="R1107" i="34"/>
  <c r="R591" i="34"/>
  <c r="P591" i="34"/>
  <c r="Q598" i="34"/>
  <c r="R551" i="34"/>
  <c r="R555" i="34"/>
  <c r="R569" i="34"/>
  <c r="P573" i="34"/>
  <c r="R577" i="34"/>
  <c r="P581" i="34"/>
  <c r="Q1202" i="34"/>
  <c r="R498" i="34"/>
  <c r="Q515" i="34"/>
  <c r="Q523" i="34"/>
  <c r="Q537" i="34"/>
  <c r="Q616" i="34"/>
  <c r="Q624" i="34"/>
  <c r="Q784" i="34"/>
  <c r="Q168" i="34"/>
  <c r="Q960" i="34"/>
  <c r="Q1002" i="34"/>
  <c r="P1009" i="34"/>
  <c r="Q1042" i="34"/>
  <c r="Q1086" i="34"/>
  <c r="Q1050" i="34"/>
  <c r="P2035" i="34"/>
  <c r="Q2035" i="34"/>
  <c r="Q3211" i="34"/>
  <c r="R2035" i="34"/>
  <c r="R3211" i="34"/>
  <c r="P3211" i="34"/>
  <c r="P3209" i="34"/>
  <c r="P119" i="34"/>
  <c r="Q3209" i="34"/>
  <c r="R3210" i="34"/>
  <c r="P3210" i="34"/>
  <c r="Q119" i="34"/>
  <c r="R3209" i="34"/>
  <c r="Q3210" i="34"/>
  <c r="R119" i="34"/>
  <c r="P2867" i="34"/>
  <c r="R2863" i="34"/>
  <c r="P2651" i="34"/>
  <c r="Q2648" i="34"/>
  <c r="R2793" i="34"/>
  <c r="P2793" i="34"/>
  <c r="Q2812" i="34"/>
  <c r="Q2606" i="34"/>
  <c r="R2537" i="34"/>
  <c r="P2537" i="34"/>
  <c r="R2595" i="34"/>
  <c r="Q2590" i="34"/>
  <c r="R2503" i="34"/>
  <c r="Q2538" i="34"/>
  <c r="Q2532" i="34"/>
  <c r="R2972" i="34"/>
  <c r="Q2919" i="34"/>
  <c r="P2859" i="34"/>
  <c r="R2855" i="34"/>
  <c r="P2851" i="34"/>
  <c r="R2847" i="34"/>
  <c r="P2843" i="34"/>
  <c r="R2839" i="34"/>
  <c r="P2835" i="34"/>
  <c r="P2747" i="34"/>
  <c r="R2739" i="34"/>
  <c r="P2763" i="34"/>
  <c r="Q2732" i="34"/>
  <c r="P2587" i="34"/>
  <c r="R2583" i="34"/>
  <c r="P2579" i="34"/>
  <c r="R2575" i="34"/>
  <c r="P2523" i="34"/>
  <c r="Q2512" i="34"/>
  <c r="P2543" i="34"/>
  <c r="P3312" i="34"/>
  <c r="R3316" i="34"/>
  <c r="P3320" i="34"/>
  <c r="R3122" i="34"/>
  <c r="P3122" i="34"/>
  <c r="R3130" i="34"/>
  <c r="P3130" i="34"/>
  <c r="R3138" i="34"/>
  <c r="P3138" i="34"/>
  <c r="R3146" i="34"/>
  <c r="P3146" i="34"/>
  <c r="Q3203" i="34"/>
  <c r="Q3095" i="34"/>
  <c r="Q3103" i="34"/>
  <c r="Q3111" i="34"/>
  <c r="R3190" i="34"/>
  <c r="P3190" i="34"/>
  <c r="R3286" i="34"/>
  <c r="P3286" i="34"/>
  <c r="Q3249" i="34"/>
  <c r="Q3257" i="34"/>
  <c r="Q3265" i="34"/>
  <c r="Q3273" i="34"/>
  <c r="Q3281" i="34"/>
  <c r="R2982" i="34"/>
  <c r="P2982" i="34"/>
  <c r="R3028" i="34"/>
  <c r="Q3365" i="34"/>
  <c r="P3365" i="34"/>
  <c r="Q2993" i="34"/>
  <c r="P3040" i="34"/>
  <c r="R3044" i="34"/>
  <c r="P3048" i="34"/>
  <c r="R3052" i="34"/>
  <c r="P3056" i="34"/>
  <c r="R3060" i="34"/>
  <c r="P3064" i="34"/>
  <c r="R3068" i="34"/>
  <c r="P3152" i="34"/>
  <c r="R3166" i="34"/>
  <c r="P3166" i="34"/>
  <c r="R3174" i="34"/>
  <c r="P3174" i="34"/>
  <c r="Q3089" i="34"/>
  <c r="R3240" i="34"/>
  <c r="P3236" i="34"/>
  <c r="R3232" i="34"/>
  <c r="P3228" i="34"/>
  <c r="R3224" i="34"/>
  <c r="P3220" i="34"/>
  <c r="R3216" i="34"/>
  <c r="P3212" i="34"/>
  <c r="R3180" i="34"/>
  <c r="P3176" i="34"/>
  <c r="R3080" i="34"/>
  <c r="P3076" i="34"/>
  <c r="R3072" i="34"/>
  <c r="Q3031" i="34"/>
  <c r="R3018" i="34"/>
  <c r="P3018" i="34"/>
  <c r="R3012" i="34"/>
  <c r="P3008" i="34"/>
  <c r="Q2999" i="34"/>
  <c r="R3304" i="34"/>
  <c r="P3300" i="34"/>
  <c r="Q3291" i="34"/>
  <c r="Q2870" i="34"/>
  <c r="P2870" i="34"/>
  <c r="Q2862" i="34"/>
  <c r="P2647" i="34"/>
  <c r="R2815" i="34"/>
  <c r="R2781" i="34"/>
  <c r="P2781" i="34"/>
  <c r="Q2792" i="34"/>
  <c r="P2811" i="34"/>
  <c r="Q2536" i="34"/>
  <c r="Q2594" i="34"/>
  <c r="R2535" i="34"/>
  <c r="P2531" i="34"/>
  <c r="Q2971" i="34"/>
  <c r="R2469" i="34"/>
  <c r="P2469" i="34"/>
  <c r="Q2854" i="34"/>
  <c r="Q2846" i="34"/>
  <c r="Q2838" i="34"/>
  <c r="P2767" i="34"/>
  <c r="P2731" i="34"/>
  <c r="R2723" i="34"/>
  <c r="Q2582" i="34"/>
  <c r="Q2574" i="34"/>
  <c r="P2511" i="34"/>
  <c r="R2529" i="34"/>
  <c r="P2529" i="34"/>
  <c r="Q3313" i="34"/>
  <c r="Q3321" i="34"/>
  <c r="Q3119" i="34"/>
  <c r="Q3127" i="34"/>
  <c r="Q3135" i="34"/>
  <c r="Q3143" i="34"/>
  <c r="Q3151" i="34"/>
  <c r="R3196" i="34"/>
  <c r="P3200" i="34"/>
  <c r="R3204" i="34"/>
  <c r="R3322" i="34"/>
  <c r="P3322" i="34"/>
  <c r="R3096" i="34"/>
  <c r="P3100" i="34"/>
  <c r="R3104" i="34"/>
  <c r="P3108" i="34"/>
  <c r="R3112" i="34"/>
  <c r="P3116" i="34"/>
  <c r="Q3187" i="34"/>
  <c r="Q3195" i="34"/>
  <c r="R3250" i="34"/>
  <c r="P3250" i="34"/>
  <c r="R3258" i="34"/>
  <c r="P3258" i="34"/>
  <c r="R3266" i="34"/>
  <c r="P3266" i="34"/>
  <c r="R3274" i="34"/>
  <c r="P3274" i="34"/>
  <c r="R3282" i="34"/>
  <c r="P3282" i="34"/>
  <c r="R2984" i="34"/>
  <c r="R2990" i="34"/>
  <c r="P2990" i="34"/>
  <c r="P3208" i="34"/>
  <c r="Q3029" i="34"/>
  <c r="Q3041" i="34"/>
  <c r="Q3049" i="34"/>
  <c r="Q3057" i="34"/>
  <c r="Q3065" i="34"/>
  <c r="Q3153" i="34"/>
  <c r="Q3163" i="34"/>
  <c r="P2592" i="34"/>
  <c r="Q2867" i="34"/>
  <c r="Q2651" i="34"/>
  <c r="R2648" i="34"/>
  <c r="P2816" i="34"/>
  <c r="Q2793" i="34"/>
  <c r="R2812" i="34"/>
  <c r="R2606" i="34"/>
  <c r="P2606" i="34"/>
  <c r="Q2537" i="34"/>
  <c r="R2590" i="34"/>
  <c r="P2590" i="34"/>
  <c r="R2538" i="34"/>
  <c r="P2538" i="34"/>
  <c r="R2532" i="34"/>
  <c r="P2524" i="34"/>
  <c r="R2919" i="34"/>
  <c r="P2919" i="34"/>
  <c r="Q2859" i="34"/>
  <c r="Q2851" i="34"/>
  <c r="Q2843" i="34"/>
  <c r="Q2835" i="34"/>
  <c r="Q2747" i="34"/>
  <c r="Q2763" i="34"/>
  <c r="R2732" i="34"/>
  <c r="P2724" i="34"/>
  <c r="Q2587" i="34"/>
  <c r="Q2579" i="34"/>
  <c r="Q2523" i="34"/>
  <c r="R2512" i="34"/>
  <c r="Q2543" i="34"/>
  <c r="Q3312" i="34"/>
  <c r="Q3320" i="34"/>
  <c r="Q3122" i="34"/>
  <c r="Q3130" i="34"/>
  <c r="Q3138" i="34"/>
  <c r="Q3146" i="34"/>
  <c r="P3161" i="34"/>
  <c r="R3203" i="34"/>
  <c r="P3203" i="34"/>
  <c r="R3095" i="34"/>
  <c r="P3095" i="34"/>
  <c r="R3103" i="34"/>
  <c r="P3103" i="34"/>
  <c r="R3111" i="34"/>
  <c r="P3111" i="34"/>
  <c r="P3157" i="34"/>
  <c r="Q3190" i="34"/>
  <c r="Q3286" i="34"/>
  <c r="P3245" i="34"/>
  <c r="R3249" i="34"/>
  <c r="P3253" i="34"/>
  <c r="R3257" i="34"/>
  <c r="P3261" i="34"/>
  <c r="R3265" i="34"/>
  <c r="P3269" i="34"/>
  <c r="R3273" i="34"/>
  <c r="P3277" i="34"/>
  <c r="R3281" i="34"/>
  <c r="Q2982" i="34"/>
  <c r="P2997" i="34"/>
  <c r="R3365" i="34"/>
  <c r="R2993" i="34"/>
  <c r="Q3040" i="34"/>
  <c r="Q3048" i="34"/>
  <c r="Q3056" i="34"/>
  <c r="Q3064" i="34"/>
  <c r="Q3152" i="34"/>
  <c r="Q3166" i="34"/>
  <c r="Q3174" i="34"/>
  <c r="R3089" i="34"/>
  <c r="P3085" i="34"/>
  <c r="Q3236" i="34"/>
  <c r="Q3228" i="34"/>
  <c r="Q3220" i="34"/>
  <c r="Q3212" i="34"/>
  <c r="Q3176" i="34"/>
  <c r="Q3076" i="34"/>
  <c r="R3031" i="34"/>
  <c r="P3031" i="34"/>
  <c r="Q3018" i="34"/>
  <c r="Q3008" i="34"/>
  <c r="R2999" i="34"/>
  <c r="P2999" i="34"/>
  <c r="P3309" i="34"/>
  <c r="Q3300" i="34"/>
  <c r="R3291" i="34"/>
  <c r="P3291" i="34"/>
  <c r="R2870" i="34"/>
  <c r="R2862" i="34"/>
  <c r="P2862" i="34"/>
  <c r="Q2647" i="34"/>
  <c r="Q2781" i="34"/>
  <c r="R2792" i="34"/>
  <c r="Q2811" i="34"/>
  <c r="P2600" i="34"/>
  <c r="R2536" i="34"/>
  <c r="R2594" i="34"/>
  <c r="P2594" i="34"/>
  <c r="P2528" i="34"/>
  <c r="Q2531" i="34"/>
  <c r="R2971" i="34"/>
  <c r="P2971" i="34"/>
  <c r="Q2469" i="34"/>
  <c r="R2854" i="34"/>
  <c r="P2854" i="34"/>
  <c r="R2846" i="34"/>
  <c r="P2846" i="34"/>
  <c r="R2838" i="34"/>
  <c r="P2838" i="34"/>
  <c r="P2752" i="34"/>
  <c r="Q2767" i="34"/>
  <c r="Q2731" i="34"/>
  <c r="P2716" i="34"/>
  <c r="R2582" i="34"/>
  <c r="P2582" i="34"/>
  <c r="R2574" i="34"/>
  <c r="P2574" i="34"/>
  <c r="Q2511" i="34"/>
  <c r="Q2529" i="34"/>
  <c r="R3313" i="34"/>
  <c r="P3317" i="34"/>
  <c r="R3321" i="34"/>
  <c r="R3119" i="34"/>
  <c r="P3119" i="34"/>
  <c r="R3127" i="34"/>
  <c r="P3127" i="34"/>
  <c r="R3135" i="34"/>
  <c r="P3135" i="34"/>
  <c r="R3143" i="34"/>
  <c r="P3143" i="34"/>
  <c r="R3151" i="34"/>
  <c r="P3151" i="34"/>
  <c r="Q3200" i="34"/>
  <c r="Q3322" i="34"/>
  <c r="Q3100" i="34"/>
  <c r="Q3108" i="34"/>
  <c r="Q3116" i="34"/>
  <c r="R3187" i="34"/>
  <c r="P3187" i="34"/>
  <c r="R3195" i="34"/>
  <c r="P3195" i="34"/>
  <c r="P3241" i="34"/>
  <c r="Q3250" i="34"/>
  <c r="Q3258" i="34"/>
  <c r="Q3266" i="34"/>
  <c r="Q3274" i="34"/>
  <c r="Q3282" i="34"/>
  <c r="Q2990" i="34"/>
  <c r="Q3208" i="34"/>
  <c r="R3029" i="34"/>
  <c r="P3037" i="34"/>
  <c r="R3041" i="34"/>
  <c r="P3045" i="34"/>
  <c r="R3049" i="34"/>
  <c r="P3053" i="34"/>
  <c r="R3057" i="34"/>
  <c r="P3061" i="34"/>
  <c r="R3065" i="34"/>
  <c r="P3069" i="34"/>
  <c r="R3153" i="34"/>
  <c r="R3163" i="34"/>
  <c r="P3163" i="34"/>
  <c r="Q2592" i="34"/>
  <c r="P2871" i="34"/>
  <c r="R2871" i="34"/>
  <c r="R2867" i="34"/>
  <c r="P2863" i="34"/>
  <c r="R2651" i="34"/>
  <c r="Q2816" i="34"/>
  <c r="Q2782" i="34"/>
  <c r="R2601" i="34"/>
  <c r="P2601" i="34"/>
  <c r="P2595" i="34"/>
  <c r="P2503" i="34"/>
  <c r="Q2524" i="34"/>
  <c r="P2972" i="34"/>
  <c r="Q2915" i="34"/>
  <c r="R2859" i="34"/>
  <c r="P2855" i="34"/>
  <c r="R2851" i="34"/>
  <c r="P2847" i="34"/>
  <c r="R2843" i="34"/>
  <c r="P2839" i="34"/>
  <c r="R2835" i="34"/>
  <c r="R2753" i="34"/>
  <c r="P2753" i="34"/>
  <c r="R2747" i="34"/>
  <c r="P2739" i="34"/>
  <c r="R2763" i="34"/>
  <c r="Q2724" i="34"/>
  <c r="R2717" i="34"/>
  <c r="P2717" i="34"/>
  <c r="R2587" i="34"/>
  <c r="P2583" i="34"/>
  <c r="R2579" i="34"/>
  <c r="P2575" i="34"/>
  <c r="R2523" i="34"/>
  <c r="R2543" i="34"/>
  <c r="Q2530" i="34"/>
  <c r="R3312" i="34"/>
  <c r="P3316" i="34"/>
  <c r="R3320" i="34"/>
  <c r="R3118" i="34"/>
  <c r="P3118" i="34"/>
  <c r="R3126" i="34"/>
  <c r="P3126" i="34"/>
  <c r="R3134" i="34"/>
  <c r="P3134" i="34"/>
  <c r="R3142" i="34"/>
  <c r="P3142" i="34"/>
  <c r="R3150" i="34"/>
  <c r="P3150" i="34"/>
  <c r="Q3161" i="34"/>
  <c r="Q3199" i="34"/>
  <c r="Q3207" i="34"/>
  <c r="Q3099" i="34"/>
  <c r="Q3107" i="34"/>
  <c r="Q3115" i="34"/>
  <c r="Q3157" i="34"/>
  <c r="R3186" i="34"/>
  <c r="P3186" i="34"/>
  <c r="R3194" i="34"/>
  <c r="P3194" i="34"/>
  <c r="Q3175" i="34"/>
  <c r="Q3245" i="34"/>
  <c r="Q3253" i="34"/>
  <c r="Q3261" i="34"/>
  <c r="Q3269" i="34"/>
  <c r="Q3277" i="34"/>
  <c r="Q3015" i="34"/>
  <c r="Q2997" i="34"/>
  <c r="P3028" i="34"/>
  <c r="R3040" i="34"/>
  <c r="P3044" i="34"/>
  <c r="R3048" i="34"/>
  <c r="P3052" i="34"/>
  <c r="R3056" i="34"/>
  <c r="P3060" i="34"/>
  <c r="R3064" i="34"/>
  <c r="P3068" i="34"/>
  <c r="R3152" i="34"/>
  <c r="R3162" i="34"/>
  <c r="P3162" i="34"/>
  <c r="R3170" i="34"/>
  <c r="P3170" i="34"/>
  <c r="Q3085" i="34"/>
  <c r="P3240" i="34"/>
  <c r="R3236" i="34"/>
  <c r="P3232" i="34"/>
  <c r="R3228" i="34"/>
  <c r="P3224" i="34"/>
  <c r="R3220" i="34"/>
  <c r="P3216" i="34"/>
  <c r="R3212" i="34"/>
  <c r="P3180" i="34"/>
  <c r="R3176" i="34"/>
  <c r="P3080" i="34"/>
  <c r="R3076" i="34"/>
  <c r="P3072" i="34"/>
  <c r="R3022" i="34"/>
  <c r="P3022" i="34"/>
  <c r="P3012" i="34"/>
  <c r="R3008" i="34"/>
  <c r="Q3003" i="34"/>
  <c r="R2986" i="34"/>
  <c r="P2986" i="34"/>
  <c r="Q3309" i="34"/>
  <c r="P3304" i="34"/>
  <c r="R3300" i="34"/>
  <c r="Q3295" i="34"/>
  <c r="R2765" i="34"/>
  <c r="P2765" i="34"/>
  <c r="Q2866" i="34"/>
  <c r="Q2650" i="34"/>
  <c r="R2647" i="34"/>
  <c r="P2815" i="34"/>
  <c r="R2811" i="34"/>
  <c r="R2605" i="34"/>
  <c r="P2605" i="34"/>
  <c r="Q2600" i="34"/>
  <c r="Q2506" i="34"/>
  <c r="Q2528" i="34"/>
  <c r="P2535" i="34"/>
  <c r="R2531" i="34"/>
  <c r="Q2975" i="34"/>
  <c r="R2918" i="34"/>
  <c r="P2918" i="34"/>
  <c r="Q2858" i="34"/>
  <c r="Q2850" i="34"/>
  <c r="Q2842" i="34"/>
  <c r="Q2834" i="34"/>
  <c r="Q2752" i="34"/>
  <c r="Q2746" i="34"/>
  <c r="R2767" i="34"/>
  <c r="Q2762" i="34"/>
  <c r="R2731" i="34"/>
  <c r="P2723" i="34"/>
  <c r="Q2716" i="34"/>
  <c r="Q2586" i="34"/>
  <c r="Q2578" i="34"/>
  <c r="R2517" i="34"/>
  <c r="P2517" i="34"/>
  <c r="R2511" i="34"/>
  <c r="Q2542" i="34"/>
  <c r="Q3317" i="34"/>
  <c r="Q3123" i="34"/>
  <c r="Q3131" i="34"/>
  <c r="Q3139" i="34"/>
  <c r="Q3147" i="34"/>
  <c r="P3196" i="34"/>
  <c r="R3200" i="34"/>
  <c r="P3204" i="34"/>
  <c r="P3096" i="34"/>
  <c r="R3100" i="34"/>
  <c r="P3104" i="34"/>
  <c r="R3108" i="34"/>
  <c r="P3112" i="34"/>
  <c r="R3116" i="34"/>
  <c r="R3158" i="34"/>
  <c r="P3158" i="34"/>
  <c r="Q3191" i="34"/>
  <c r="Q3287" i="34"/>
  <c r="Q3241" i="34"/>
  <c r="R3246" i="34"/>
  <c r="P3246" i="34"/>
  <c r="R3254" i="34"/>
  <c r="P3254" i="34"/>
  <c r="R3262" i="34"/>
  <c r="P3262" i="34"/>
  <c r="R3270" i="34"/>
  <c r="P3270" i="34"/>
  <c r="R3278" i="34"/>
  <c r="P3278" i="34"/>
  <c r="P2984" i="34"/>
  <c r="R2998" i="34"/>
  <c r="P2998" i="34"/>
  <c r="R3208" i="34"/>
  <c r="Q3037" i="34"/>
  <c r="Q3045" i="34"/>
  <c r="Q3053" i="34"/>
  <c r="Q3061" i="34"/>
  <c r="Q3069" i="34"/>
  <c r="Q3167" i="34"/>
  <c r="R2592" i="34"/>
  <c r="Q2871" i="34"/>
  <c r="Q2863" i="34"/>
  <c r="P2648" i="34"/>
  <c r="R2816" i="34"/>
  <c r="R2782" i="34"/>
  <c r="P2782" i="34"/>
  <c r="P2812" i="34"/>
  <c r="Q2601" i="34"/>
  <c r="Q2595" i="34"/>
  <c r="Q2503" i="34"/>
  <c r="P2532" i="34"/>
  <c r="R2524" i="34"/>
  <c r="Q2972" i="34"/>
  <c r="R2915" i="34"/>
  <c r="P2915" i="34"/>
  <c r="Q2855" i="34"/>
  <c r="Q2847" i="34"/>
  <c r="Q2839" i="34"/>
  <c r="Q2753" i="34"/>
  <c r="Q2739" i="34"/>
  <c r="P2732" i="34"/>
  <c r="R2724" i="34"/>
  <c r="Q2717" i="34"/>
  <c r="Q2583" i="34"/>
  <c r="Q2575" i="34"/>
  <c r="P2512" i="34"/>
  <c r="R2530" i="34"/>
  <c r="P2530" i="34"/>
  <c r="Q3316" i="34"/>
  <c r="Q3118" i="34"/>
  <c r="Q3126" i="34"/>
  <c r="Q3134" i="34"/>
  <c r="Q3142" i="34"/>
  <c r="Q3150" i="34"/>
  <c r="R3161" i="34"/>
  <c r="R3199" i="34"/>
  <c r="P3199" i="34"/>
  <c r="R3207" i="34"/>
  <c r="P3207" i="34"/>
  <c r="R3099" i="34"/>
  <c r="P3099" i="34"/>
  <c r="R3107" i="34"/>
  <c r="P3107" i="34"/>
  <c r="R3115" i="34"/>
  <c r="P3115" i="34"/>
  <c r="R3157" i="34"/>
  <c r="Q3186" i="34"/>
  <c r="Q3194" i="34"/>
  <c r="R3175" i="34"/>
  <c r="P3175" i="34"/>
  <c r="R3245" i="34"/>
  <c r="P3249" i="34"/>
  <c r="R3253" i="34"/>
  <c r="P3257" i="34"/>
  <c r="R3261" i="34"/>
  <c r="P3265" i="34"/>
  <c r="R3269" i="34"/>
  <c r="P3273" i="34"/>
  <c r="R3277" i="34"/>
  <c r="P3281" i="34"/>
  <c r="R3015" i="34"/>
  <c r="P3015" i="34"/>
  <c r="R2997" i="34"/>
  <c r="Q3028" i="34"/>
  <c r="P2993" i="34"/>
  <c r="Q3044" i="34"/>
  <c r="Q3052" i="34"/>
  <c r="Q3060" i="34"/>
  <c r="Q3068" i="34"/>
  <c r="Q3162" i="34"/>
  <c r="Q3170" i="34"/>
  <c r="P3089" i="34"/>
  <c r="R3085" i="34"/>
  <c r="Q3240" i="34"/>
  <c r="Q3232" i="34"/>
  <c r="Q3224" i="34"/>
  <c r="Q3216" i="34"/>
  <c r="Q3180" i="34"/>
  <c r="Q3080" i="34"/>
  <c r="Q3072" i="34"/>
  <c r="Q3022" i="34"/>
  <c r="Q3012" i="34"/>
  <c r="R3003" i="34"/>
  <c r="P3003" i="34"/>
  <c r="Q2986" i="34"/>
  <c r="R3309" i="34"/>
  <c r="Q3304" i="34"/>
  <c r="R3295" i="34"/>
  <c r="P3295" i="34"/>
  <c r="Q2765" i="34"/>
  <c r="R2866" i="34"/>
  <c r="P2866" i="34"/>
  <c r="R2650" i="34"/>
  <c r="P2650" i="34"/>
  <c r="Q2815" i="34"/>
  <c r="P2792" i="34"/>
  <c r="Q2605" i="34"/>
  <c r="R2600" i="34"/>
  <c r="P2536" i="34"/>
  <c r="R2506" i="34"/>
  <c r="P2506" i="34"/>
  <c r="R2528" i="34"/>
  <c r="Q2535" i="34"/>
  <c r="R2975" i="34"/>
  <c r="P2975" i="34"/>
  <c r="Q2918" i="34"/>
  <c r="R2858" i="34"/>
  <c r="P2858" i="34"/>
  <c r="R2850" i="34"/>
  <c r="P2850" i="34"/>
  <c r="R2842" i="34"/>
  <c r="P2842" i="34"/>
  <c r="R2834" i="34"/>
  <c r="P2834" i="34"/>
  <c r="R2752" i="34"/>
  <c r="R2746" i="34"/>
  <c r="P2746" i="34"/>
  <c r="R2762" i="34"/>
  <c r="P2762" i="34"/>
  <c r="Q2723" i="34"/>
  <c r="R2716" i="34"/>
  <c r="R2586" i="34"/>
  <c r="P2586" i="34"/>
  <c r="R2578" i="34"/>
  <c r="P2578" i="34"/>
  <c r="Q2517" i="34"/>
  <c r="R2542" i="34"/>
  <c r="P2542" i="34"/>
  <c r="P3313" i="34"/>
  <c r="R3317" i="34"/>
  <c r="P3321" i="34"/>
  <c r="R3123" i="34"/>
  <c r="P3123" i="34"/>
  <c r="R3131" i="34"/>
  <c r="P3131" i="34"/>
  <c r="R3139" i="34"/>
  <c r="P3139" i="34"/>
  <c r="R3147" i="34"/>
  <c r="P3147" i="34"/>
  <c r="Q3196" i="34"/>
  <c r="Q3204" i="34"/>
  <c r="Q3096" i="34"/>
  <c r="Q3104" i="34"/>
  <c r="Q3112" i="34"/>
  <c r="Q3158" i="34"/>
  <c r="R3191" i="34"/>
  <c r="P3191" i="34"/>
  <c r="R3287" i="34"/>
  <c r="P3287" i="34"/>
  <c r="R3241" i="34"/>
  <c r="Q3246" i="34"/>
  <c r="Q3254" i="34"/>
  <c r="Q3262" i="34"/>
  <c r="Q3270" i="34"/>
  <c r="Q3278" i="34"/>
  <c r="Q2984" i="34"/>
  <c r="Q2998" i="34"/>
  <c r="P3029" i="34"/>
  <c r="R3037" i="34"/>
  <c r="P3041" i="34"/>
  <c r="R3045" i="34"/>
  <c r="P3049" i="34"/>
  <c r="R3053" i="34"/>
  <c r="P3057" i="34"/>
  <c r="R3061" i="34"/>
  <c r="P3065" i="34"/>
  <c r="R3069" i="34"/>
  <c r="P3153" i="34"/>
  <c r="R3167" i="34"/>
  <c r="Q3171" i="34"/>
  <c r="R3092" i="34"/>
  <c r="P3088" i="34"/>
  <c r="R3084" i="34"/>
  <c r="Q3239" i="34"/>
  <c r="Q3231" i="34"/>
  <c r="Q3223" i="34"/>
  <c r="Q3215" i="34"/>
  <c r="Q3179" i="34"/>
  <c r="Q3079" i="34"/>
  <c r="R3034" i="34"/>
  <c r="P3034" i="34"/>
  <c r="Q3025" i="34"/>
  <c r="Q3017" i="34"/>
  <c r="Q3011" i="34"/>
  <c r="R3002" i="34"/>
  <c r="P3002" i="34"/>
  <c r="Q2989" i="34"/>
  <c r="R3308" i="34"/>
  <c r="Q3303" i="34"/>
  <c r="R3294" i="34"/>
  <c r="P3294" i="34"/>
  <c r="R2521" i="34"/>
  <c r="P2521" i="34"/>
  <c r="R2865" i="34"/>
  <c r="P2865" i="34"/>
  <c r="R2661" i="34"/>
  <c r="P2661" i="34"/>
  <c r="Q2802" i="34"/>
  <c r="R2791" i="34"/>
  <c r="P2795" i="34"/>
  <c r="Q2800" i="34"/>
  <c r="R2599" i="34"/>
  <c r="R2597" i="34"/>
  <c r="P2597" i="34"/>
  <c r="R2505" i="34"/>
  <c r="P2505" i="34"/>
  <c r="R2527" i="34"/>
  <c r="Q2534" i="34"/>
  <c r="R2974" i="34"/>
  <c r="P2974" i="34"/>
  <c r="Q2921" i="34"/>
  <c r="R2857" i="34"/>
  <c r="P2857" i="34"/>
  <c r="R2849" i="34"/>
  <c r="P2849" i="34"/>
  <c r="R2841" i="34"/>
  <c r="P2841" i="34"/>
  <c r="R2833" i="34"/>
  <c r="P2833" i="34"/>
  <c r="R2751" i="34"/>
  <c r="R2741" i="34"/>
  <c r="P2741" i="34"/>
  <c r="Q2734" i="34"/>
  <c r="Q2722" i="34"/>
  <c r="R2585" i="34"/>
  <c r="P2585" i="34"/>
  <c r="R2577" i="34"/>
  <c r="P2577" i="34"/>
  <c r="R2541" i="34"/>
  <c r="P2541" i="34"/>
  <c r="R3314" i="34"/>
  <c r="P3314" i="34"/>
  <c r="P3036" i="34"/>
  <c r="R3120" i="34"/>
  <c r="P3124" i="34"/>
  <c r="R3128" i="34"/>
  <c r="P3132" i="34"/>
  <c r="R3136" i="34"/>
  <c r="P3140" i="34"/>
  <c r="R3144" i="34"/>
  <c r="P3148" i="34"/>
  <c r="Q3201" i="34"/>
  <c r="Q3093" i="34"/>
  <c r="Q3101" i="34"/>
  <c r="Q3109" i="34"/>
  <c r="Q3117" i="34"/>
  <c r="P3184" i="34"/>
  <c r="R3188" i="34"/>
  <c r="P3192" i="34"/>
  <c r="R3284" i="34"/>
  <c r="P3288" i="34"/>
  <c r="Q3247" i="34"/>
  <c r="Q3255" i="34"/>
  <c r="Q3263" i="34"/>
  <c r="Q3271" i="34"/>
  <c r="Q3279" i="34"/>
  <c r="R3006" i="34"/>
  <c r="P3006" i="34"/>
  <c r="R3026" i="34"/>
  <c r="P3026" i="34"/>
  <c r="R3363" i="34"/>
  <c r="R3030" i="34"/>
  <c r="P3030" i="34"/>
  <c r="R3042" i="34"/>
  <c r="P3042" i="34"/>
  <c r="R3050" i="34"/>
  <c r="P3050" i="34"/>
  <c r="R3058" i="34"/>
  <c r="P3058" i="34"/>
  <c r="R3066" i="34"/>
  <c r="P3066" i="34"/>
  <c r="R3154" i="34"/>
  <c r="P3154" i="34"/>
  <c r="R3164" i="34"/>
  <c r="P3168" i="34"/>
  <c r="R3172" i="34"/>
  <c r="Q3091" i="34"/>
  <c r="R2994" i="34"/>
  <c r="P2994" i="34"/>
  <c r="R3234" i="34"/>
  <c r="P3234" i="34"/>
  <c r="R3226" i="34"/>
  <c r="P3226" i="34"/>
  <c r="R3218" i="34"/>
  <c r="P3218" i="34"/>
  <c r="R3182" i="34"/>
  <c r="P3182" i="34"/>
  <c r="R3082" i="34"/>
  <c r="P3082" i="34"/>
  <c r="R3074" i="34"/>
  <c r="P3074" i="34"/>
  <c r="Q3033" i="34"/>
  <c r="P3024" i="34"/>
  <c r="R3020" i="34"/>
  <c r="P3016" i="34"/>
  <c r="Q3001" i="34"/>
  <c r="P2988" i="34"/>
  <c r="R3306" i="34"/>
  <c r="P3306" i="34"/>
  <c r="Q3293" i="34"/>
  <c r="R2872" i="34"/>
  <c r="Q2864" i="34"/>
  <c r="Q2660" i="34"/>
  <c r="P2787" i="34"/>
  <c r="Q2790" i="34"/>
  <c r="P2799" i="34"/>
  <c r="R2603" i="34"/>
  <c r="Q2598" i="34"/>
  <c r="Q2596" i="34"/>
  <c r="P2591" i="34"/>
  <c r="Q2504" i="34"/>
  <c r="P2539" i="34"/>
  <c r="R2525" i="34"/>
  <c r="P2525" i="34"/>
  <c r="Q2973" i="34"/>
  <c r="P2920" i="34"/>
  <c r="R2916" i="34"/>
  <c r="Q2856" i="34"/>
  <c r="Q2848" i="34"/>
  <c r="Q2840" i="34"/>
  <c r="Q2832" i="34"/>
  <c r="Q2740" i="34"/>
  <c r="R2729" i="34"/>
  <c r="P2729" i="34"/>
  <c r="Q2584" i="34"/>
  <c r="Q2576" i="34"/>
  <c r="R2515" i="34"/>
  <c r="Q2540" i="34"/>
  <c r="Q3307" i="34"/>
  <c r="Q3319" i="34"/>
  <c r="Q3125" i="34"/>
  <c r="Q3133" i="34"/>
  <c r="Q3141" i="34"/>
  <c r="Q3149" i="34"/>
  <c r="P3160" i="34"/>
  <c r="R3202" i="34"/>
  <c r="P3202" i="34"/>
  <c r="R3094" i="34"/>
  <c r="P3094" i="34"/>
  <c r="R3102" i="34"/>
  <c r="P3102" i="34"/>
  <c r="R3110" i="34"/>
  <c r="P3110" i="34"/>
  <c r="P3156" i="34"/>
  <c r="Q3185" i="34"/>
  <c r="R3171" i="34"/>
  <c r="P3171" i="34"/>
  <c r="Q3088" i="34"/>
  <c r="R3239" i="34"/>
  <c r="P3239" i="34"/>
  <c r="R3231" i="34"/>
  <c r="P3231" i="34"/>
  <c r="R3223" i="34"/>
  <c r="P3223" i="34"/>
  <c r="R3215" i="34"/>
  <c r="P3215" i="34"/>
  <c r="R3179" i="34"/>
  <c r="P3179" i="34"/>
  <c r="R3079" i="34"/>
  <c r="P3079" i="34"/>
  <c r="Q3034" i="34"/>
  <c r="R3025" i="34"/>
  <c r="P3021" i="34"/>
  <c r="R3017" i="34"/>
  <c r="R3011" i="34"/>
  <c r="P3011" i="34"/>
  <c r="Q3002" i="34"/>
  <c r="R2989" i="34"/>
  <c r="P2985" i="34"/>
  <c r="R3303" i="34"/>
  <c r="P3303" i="34"/>
  <c r="Q3294" i="34"/>
  <c r="Q2521" i="34"/>
  <c r="Q2865" i="34"/>
  <c r="Q2661" i="34"/>
  <c r="R2802" i="34"/>
  <c r="P2802" i="34"/>
  <c r="Q2795" i="34"/>
  <c r="R2800" i="34"/>
  <c r="P2604" i="34"/>
  <c r="Q2597" i="34"/>
  <c r="Q2505" i="34"/>
  <c r="R2534" i="34"/>
  <c r="P2534" i="34"/>
  <c r="Q2974" i="34"/>
  <c r="R2921" i="34"/>
  <c r="P2917" i="34"/>
  <c r="Q2857" i="34"/>
  <c r="Q2849" i="34"/>
  <c r="Q2841" i="34"/>
  <c r="Q2833" i="34"/>
  <c r="Q2741" i="34"/>
  <c r="R2734" i="34"/>
  <c r="P2734" i="34"/>
  <c r="R2722" i="34"/>
  <c r="P2722" i="34"/>
  <c r="Q2585" i="34"/>
  <c r="Q2577" i="34"/>
  <c r="P2516" i="34"/>
  <c r="Q2541" i="34"/>
  <c r="Q3314" i="34"/>
  <c r="Q3036" i="34"/>
  <c r="Q3124" i="34"/>
  <c r="Q3132" i="34"/>
  <c r="Q3140" i="34"/>
  <c r="Q3148" i="34"/>
  <c r="P3197" i="34"/>
  <c r="R3201" i="34"/>
  <c r="P3205" i="34"/>
  <c r="R3093" i="34"/>
  <c r="P3097" i="34"/>
  <c r="R3101" i="34"/>
  <c r="P3105" i="34"/>
  <c r="R3109" i="34"/>
  <c r="P3113" i="34"/>
  <c r="R3117" i="34"/>
  <c r="Q3184" i="34"/>
  <c r="Q3192" i="34"/>
  <c r="Q3288" i="34"/>
  <c r="R3247" i="34"/>
  <c r="P3247" i="34"/>
  <c r="R3255" i="34"/>
  <c r="P3255" i="34"/>
  <c r="R3263" i="34"/>
  <c r="P3263" i="34"/>
  <c r="R3271" i="34"/>
  <c r="P3271" i="34"/>
  <c r="R3279" i="34"/>
  <c r="P3279" i="34"/>
  <c r="Q3006" i="34"/>
  <c r="Q3026" i="34"/>
  <c r="Q3030" i="34"/>
  <c r="Q3042" i="34"/>
  <c r="Q3050" i="34"/>
  <c r="Q3058" i="34"/>
  <c r="Q3066" i="34"/>
  <c r="Q3154" i="34"/>
  <c r="Q3168" i="34"/>
  <c r="R3091" i="34"/>
  <c r="P3091" i="34"/>
  <c r="Q2994" i="34"/>
  <c r="Q3234" i="34"/>
  <c r="Q3226" i="34"/>
  <c r="Q3218" i="34"/>
  <c r="Q3182" i="34"/>
  <c r="Q3082" i="34"/>
  <c r="Q3074" i="34"/>
  <c r="R3033" i="34"/>
  <c r="Q3024" i="34"/>
  <c r="Q3016" i="34"/>
  <c r="P3005" i="34"/>
  <c r="R3001" i="34"/>
  <c r="Q2988" i="34"/>
  <c r="Q3306" i="34"/>
  <c r="P3297" i="34"/>
  <c r="R3293" i="34"/>
  <c r="P3289" i="34"/>
  <c r="P2868" i="34"/>
  <c r="R2864" i="34"/>
  <c r="P2652" i="34"/>
  <c r="R2660" i="34"/>
  <c r="Q2787" i="34"/>
  <c r="R2790" i="34"/>
  <c r="P2790" i="34"/>
  <c r="Q2799" i="34"/>
  <c r="R2598" i="34"/>
  <c r="P2598" i="34"/>
  <c r="R2596" i="34"/>
  <c r="Q2591" i="34"/>
  <c r="R2504" i="34"/>
  <c r="Q2539" i="34"/>
  <c r="Q2525" i="34"/>
  <c r="R2973" i="34"/>
  <c r="Q2920" i="34"/>
  <c r="P2860" i="34"/>
  <c r="R2856" i="34"/>
  <c r="P2852" i="34"/>
  <c r="R2848" i="34"/>
  <c r="P2844" i="34"/>
  <c r="R2840" i="34"/>
  <c r="P2836" i="34"/>
  <c r="R2832" i="34"/>
  <c r="P2748" i="34"/>
  <c r="R2740" i="34"/>
  <c r="P2764" i="34"/>
  <c r="Q2729" i="34"/>
  <c r="P2588" i="34"/>
  <c r="R2584" i="34"/>
  <c r="P2580" i="34"/>
  <c r="R2576" i="34"/>
  <c r="P2572" i="34"/>
  <c r="P2544" i="34"/>
  <c r="R2540" i="34"/>
  <c r="R3307" i="34"/>
  <c r="P3307" i="34"/>
  <c r="R3319" i="34"/>
  <c r="P3319" i="34"/>
  <c r="P3121" i="34"/>
  <c r="R3125" i="34"/>
  <c r="P3129" i="34"/>
  <c r="R3133" i="34"/>
  <c r="P3137" i="34"/>
  <c r="R3141" i="34"/>
  <c r="P3145" i="34"/>
  <c r="R3149" i="34"/>
  <c r="Q3160" i="34"/>
  <c r="Q3202" i="34"/>
  <c r="Q3094" i="34"/>
  <c r="Q3102" i="34"/>
  <c r="Q3110" i="34"/>
  <c r="Q3156" i="34"/>
  <c r="R3185" i="34"/>
  <c r="P3189" i="34"/>
  <c r="P3092" i="34"/>
  <c r="R3088" i="34"/>
  <c r="P3084" i="34"/>
  <c r="Q3235" i="34"/>
  <c r="Q3227" i="34"/>
  <c r="Q3219" i="34"/>
  <c r="Q3183" i="34"/>
  <c r="Q3083" i="34"/>
  <c r="Q3075" i="34"/>
  <c r="Q3021" i="34"/>
  <c r="Q3007" i="34"/>
  <c r="Q2985" i="34"/>
  <c r="P3308" i="34"/>
  <c r="R3298" i="34"/>
  <c r="P3298" i="34"/>
  <c r="R3290" i="34"/>
  <c r="P3290" i="34"/>
  <c r="R2869" i="34"/>
  <c r="P2869" i="34"/>
  <c r="Q2654" i="34"/>
  <c r="R2789" i="34"/>
  <c r="P2789" i="34"/>
  <c r="P2791" i="34"/>
  <c r="R2795" i="34"/>
  <c r="Q2604" i="34"/>
  <c r="P2599" i="34"/>
  <c r="R2593" i="34"/>
  <c r="P2593" i="34"/>
  <c r="P2527" i="34"/>
  <c r="Q2526" i="34"/>
  <c r="Q2917" i="34"/>
  <c r="R2861" i="34"/>
  <c r="P2861" i="34"/>
  <c r="R2853" i="34"/>
  <c r="P2853" i="34"/>
  <c r="R2845" i="34"/>
  <c r="P2845" i="34"/>
  <c r="R2837" i="34"/>
  <c r="P2837" i="34"/>
  <c r="P2751" i="34"/>
  <c r="Q2766" i="34"/>
  <c r="Q2730" i="34"/>
  <c r="R2589" i="34"/>
  <c r="P2589" i="34"/>
  <c r="R2581" i="34"/>
  <c r="P2581" i="34"/>
  <c r="R2573" i="34"/>
  <c r="P2573" i="34"/>
  <c r="Q2516" i="34"/>
  <c r="R2545" i="34"/>
  <c r="P2545" i="34"/>
  <c r="Q2522" i="34"/>
  <c r="R3318" i="34"/>
  <c r="P3318" i="34"/>
  <c r="R3036" i="34"/>
  <c r="P3120" i="34"/>
  <c r="R3124" i="34"/>
  <c r="P3128" i="34"/>
  <c r="R3132" i="34"/>
  <c r="P3136" i="34"/>
  <c r="R3140" i="34"/>
  <c r="P3144" i="34"/>
  <c r="R3148" i="34"/>
  <c r="Q3159" i="34"/>
  <c r="Q3197" i="34"/>
  <c r="Q3205" i="34"/>
  <c r="Q3097" i="34"/>
  <c r="Q3105" i="34"/>
  <c r="Q3113" i="34"/>
  <c r="R3184" i="34"/>
  <c r="P3188" i="34"/>
  <c r="R3192" i="34"/>
  <c r="P3284" i="34"/>
  <c r="R3288" i="34"/>
  <c r="R3242" i="34"/>
  <c r="P3242" i="34"/>
  <c r="Q3251" i="34"/>
  <c r="Q3259" i="34"/>
  <c r="Q3267" i="34"/>
  <c r="Q3275" i="34"/>
  <c r="Q3283" i="34"/>
  <c r="Q2991" i="34"/>
  <c r="R3038" i="34"/>
  <c r="P3038" i="34"/>
  <c r="R3046" i="34"/>
  <c r="P3046" i="34"/>
  <c r="R3054" i="34"/>
  <c r="P3054" i="34"/>
  <c r="R3062" i="34"/>
  <c r="P3062" i="34"/>
  <c r="R3070" i="34"/>
  <c r="P3070" i="34"/>
  <c r="P3164" i="34"/>
  <c r="R3168" i="34"/>
  <c r="P3172" i="34"/>
  <c r="Q3087" i="34"/>
  <c r="R3238" i="34"/>
  <c r="P3238" i="34"/>
  <c r="R3230" i="34"/>
  <c r="P3230" i="34"/>
  <c r="R3222" i="34"/>
  <c r="P3222" i="34"/>
  <c r="R3214" i="34"/>
  <c r="P3214" i="34"/>
  <c r="R3178" i="34"/>
  <c r="P3178" i="34"/>
  <c r="R3078" i="34"/>
  <c r="P3078" i="34"/>
  <c r="R3024" i="34"/>
  <c r="P3020" i="34"/>
  <c r="R3016" i="34"/>
  <c r="R3010" i="34"/>
  <c r="P3010" i="34"/>
  <c r="Q3005" i="34"/>
  <c r="R2988" i="34"/>
  <c r="Q3311" i="34"/>
  <c r="R3302" i="34"/>
  <c r="P3302" i="34"/>
  <c r="Q3297" i="34"/>
  <c r="Q3289" i="34"/>
  <c r="Q2868" i="34"/>
  <c r="Q2652" i="34"/>
  <c r="R2787" i="34"/>
  <c r="R2801" i="34"/>
  <c r="P2801" i="34"/>
  <c r="Q2794" i="34"/>
  <c r="R2799" i="34"/>
  <c r="P2603" i="34"/>
  <c r="R2591" i="34"/>
  <c r="R2539" i="34"/>
  <c r="R2533" i="34"/>
  <c r="P2533" i="34"/>
  <c r="R2920" i="34"/>
  <c r="P2916" i="34"/>
  <c r="Q2860" i="34"/>
  <c r="Q2852" i="34"/>
  <c r="Q2844" i="34"/>
  <c r="Q2836" i="34"/>
  <c r="Q2748" i="34"/>
  <c r="Q2764" i="34"/>
  <c r="R2733" i="34"/>
  <c r="P2733" i="34"/>
  <c r="Q2718" i="34"/>
  <c r="Q2588" i="34"/>
  <c r="Q2580" i="34"/>
  <c r="Q2572" i="34"/>
  <c r="P2515" i="34"/>
  <c r="Q2544" i="34"/>
  <c r="Q3315" i="34"/>
  <c r="Q2995" i="34"/>
  <c r="Q3121" i="34"/>
  <c r="Q3129" i="34"/>
  <c r="Q3137" i="34"/>
  <c r="Q3145" i="34"/>
  <c r="R3160" i="34"/>
  <c r="R3198" i="34"/>
  <c r="P3198" i="34"/>
  <c r="R3206" i="34"/>
  <c r="P3206" i="34"/>
  <c r="R3098" i="34"/>
  <c r="P3098" i="34"/>
  <c r="R3106" i="34"/>
  <c r="P3106" i="34"/>
  <c r="R3114" i="34"/>
  <c r="P3114" i="34"/>
  <c r="R3156" i="34"/>
  <c r="Q3189" i="34"/>
  <c r="P3167" i="34"/>
  <c r="Q3092" i="34"/>
  <c r="Q3084" i="34"/>
  <c r="R3235" i="34"/>
  <c r="P3235" i="34"/>
  <c r="R3227" i="34"/>
  <c r="P3227" i="34"/>
  <c r="R3219" i="34"/>
  <c r="P3219" i="34"/>
  <c r="R3183" i="34"/>
  <c r="P3183" i="34"/>
  <c r="R3083" i="34"/>
  <c r="P3083" i="34"/>
  <c r="R3075" i="34"/>
  <c r="P3075" i="34"/>
  <c r="P3025" i="34"/>
  <c r="R3021" i="34"/>
  <c r="P3017" i="34"/>
  <c r="R3007" i="34"/>
  <c r="P3007" i="34"/>
  <c r="P2989" i="34"/>
  <c r="R2985" i="34"/>
  <c r="Q3308" i="34"/>
  <c r="Q3298" i="34"/>
  <c r="Q3290" i="34"/>
  <c r="Q2869" i="34"/>
  <c r="R2654" i="34"/>
  <c r="P2654" i="34"/>
  <c r="Q2789" i="34"/>
  <c r="Q2791" i="34"/>
  <c r="P2800" i="34"/>
  <c r="R2604" i="34"/>
  <c r="Q2599" i="34"/>
  <c r="Q2593" i="34"/>
  <c r="Q2527" i="34"/>
  <c r="R2526" i="34"/>
  <c r="P2526" i="34"/>
  <c r="P2921" i="34"/>
  <c r="R2917" i="34"/>
  <c r="Q2861" i="34"/>
  <c r="Q2853" i="34"/>
  <c r="Q2845" i="34"/>
  <c r="Q2837" i="34"/>
  <c r="Q2751" i="34"/>
  <c r="R2766" i="34"/>
  <c r="P2766" i="34"/>
  <c r="R2730" i="34"/>
  <c r="P2730" i="34"/>
  <c r="Q2589" i="34"/>
  <c r="Q2581" i="34"/>
  <c r="Q2573" i="34"/>
  <c r="R2516" i="34"/>
  <c r="Q2545" i="34"/>
  <c r="R2522" i="34"/>
  <c r="P2522" i="34"/>
  <c r="Q3318" i="34"/>
  <c r="Q3120" i="34"/>
  <c r="Q3128" i="34"/>
  <c r="Q3136" i="34"/>
  <c r="Q3144" i="34"/>
  <c r="R3159" i="34"/>
  <c r="P3159" i="34"/>
  <c r="R3197" i="34"/>
  <c r="P3201" i="34"/>
  <c r="R3205" i="34"/>
  <c r="P3093" i="34"/>
  <c r="R3097" i="34"/>
  <c r="P3101" i="34"/>
  <c r="R3105" i="34"/>
  <c r="P3109" i="34"/>
  <c r="R3113" i="34"/>
  <c r="P3117" i="34"/>
  <c r="Q3188" i="34"/>
  <c r="Q3284" i="34"/>
  <c r="Q3242" i="34"/>
  <c r="R3251" i="34"/>
  <c r="P3251" i="34"/>
  <c r="R3259" i="34"/>
  <c r="P3259" i="34"/>
  <c r="R3267" i="34"/>
  <c r="P3267" i="34"/>
  <c r="R3275" i="34"/>
  <c r="P3275" i="34"/>
  <c r="R3283" i="34"/>
  <c r="P3283" i="34"/>
  <c r="R2991" i="34"/>
  <c r="P2991" i="34"/>
  <c r="Q3363" i="34"/>
  <c r="P3363" i="34"/>
  <c r="Q3038" i="34"/>
  <c r="Q3046" i="34"/>
  <c r="Q3054" i="34"/>
  <c r="Q3062" i="34"/>
  <c r="Q3070" i="34"/>
  <c r="Q3164" i="34"/>
  <c r="Q3172" i="34"/>
  <c r="R3087" i="34"/>
  <c r="P3087" i="34"/>
  <c r="Q3238" i="34"/>
  <c r="Q3230" i="34"/>
  <c r="Q3222" i="34"/>
  <c r="Q3214" i="34"/>
  <c r="Q3178" i="34"/>
  <c r="Q3078" i="34"/>
  <c r="P3033" i="34"/>
  <c r="Q3020" i="34"/>
  <c r="Q3010" i="34"/>
  <c r="R3005" i="34"/>
  <c r="P3001" i="34"/>
  <c r="R3311" i="34"/>
  <c r="P3311" i="34"/>
  <c r="Q3302" i="34"/>
  <c r="R3297" i="34"/>
  <c r="P3293" i="34"/>
  <c r="R3289" i="34"/>
  <c r="P2872" i="34"/>
  <c r="Q2872" i="34"/>
  <c r="R2868" i="34"/>
  <c r="P2864" i="34"/>
  <c r="R2652" i="34"/>
  <c r="P2660" i="34"/>
  <c r="Q2801" i="34"/>
  <c r="R2794" i="34"/>
  <c r="P2794" i="34"/>
  <c r="Q2603" i="34"/>
  <c r="P2596" i="34"/>
  <c r="P2504" i="34"/>
  <c r="Q2533" i="34"/>
  <c r="P2973" i="34"/>
  <c r="Q2916" i="34"/>
  <c r="R2860" i="34"/>
  <c r="P2856" i="34"/>
  <c r="R2852" i="34"/>
  <c r="P2848" i="34"/>
  <c r="R2844" i="34"/>
  <c r="P2840" i="34"/>
  <c r="R2836" i="34"/>
  <c r="P2832" i="34"/>
  <c r="R2748" i="34"/>
  <c r="P2740" i="34"/>
  <c r="R2764" i="34"/>
  <c r="Q2733" i="34"/>
  <c r="R2718" i="34"/>
  <c r="P2718" i="34"/>
  <c r="R2588" i="34"/>
  <c r="P2584" i="34"/>
  <c r="R2580" i="34"/>
  <c r="P2576" i="34"/>
  <c r="R2572" i="34"/>
  <c r="Q2515" i="34"/>
  <c r="R2544" i="34"/>
  <c r="P2540" i="34"/>
  <c r="R3315" i="34"/>
  <c r="P3315" i="34"/>
  <c r="R2995" i="34"/>
  <c r="P2995" i="34"/>
  <c r="R3121" i="34"/>
  <c r="P3125" i="34"/>
  <c r="R3129" i="34"/>
  <c r="P3133" i="34"/>
  <c r="R3137" i="34"/>
  <c r="P3141" i="34"/>
  <c r="R3145" i="34"/>
  <c r="P3149" i="34"/>
  <c r="Q3198" i="34"/>
  <c r="Q3206" i="34"/>
  <c r="Q3098" i="34"/>
  <c r="Q3106" i="34"/>
  <c r="Q3114" i="34"/>
  <c r="P3185" i="34"/>
  <c r="R3189" i="34"/>
  <c r="R3193" i="34"/>
  <c r="P3285" i="34"/>
  <c r="Q3244" i="34"/>
  <c r="Q3252" i="34"/>
  <c r="Q3260" i="34"/>
  <c r="Q3268" i="34"/>
  <c r="Q3276" i="34"/>
  <c r="R2983" i="34"/>
  <c r="P2983" i="34"/>
  <c r="R3013" i="34"/>
  <c r="Q2996" i="34"/>
  <c r="Q3364" i="34"/>
  <c r="R3039" i="34"/>
  <c r="P3039" i="34"/>
  <c r="R3047" i="34"/>
  <c r="P3047" i="34"/>
  <c r="R3055" i="34"/>
  <c r="P3055" i="34"/>
  <c r="R3063" i="34"/>
  <c r="P3063" i="34"/>
  <c r="R3071" i="34"/>
  <c r="P3071" i="34"/>
  <c r="P3165" i="34"/>
  <c r="R3169" i="34"/>
  <c r="P3173" i="34"/>
  <c r="Q3086" i="34"/>
  <c r="P3237" i="34"/>
  <c r="R3233" i="34"/>
  <c r="P3229" i="34"/>
  <c r="R3225" i="34"/>
  <c r="P3221" i="34"/>
  <c r="R3217" i="34"/>
  <c r="P3213" i="34"/>
  <c r="R3181" i="34"/>
  <c r="P3177" i="34"/>
  <c r="R3081" i="34"/>
  <c r="P3077" i="34"/>
  <c r="R3073" i="34"/>
  <c r="Q3032" i="34"/>
  <c r="R3019" i="34"/>
  <c r="P3019" i="34"/>
  <c r="P3009" i="34"/>
  <c r="Q3000" i="34"/>
  <c r="Q3310" i="34"/>
  <c r="R3305" i="34"/>
  <c r="P3301" i="34"/>
  <c r="Q3292" i="34"/>
  <c r="Q3285" i="34"/>
  <c r="Q3299" i="34"/>
  <c r="R3244" i="34"/>
  <c r="P3248" i="34"/>
  <c r="R3252" i="34"/>
  <c r="P3256" i="34"/>
  <c r="R3260" i="34"/>
  <c r="P3264" i="34"/>
  <c r="R3268" i="34"/>
  <c r="P3272" i="34"/>
  <c r="R3276" i="34"/>
  <c r="P3280" i="34"/>
  <c r="R2996" i="34"/>
  <c r="Q3027" i="34"/>
  <c r="P2992" i="34"/>
  <c r="Q3043" i="34"/>
  <c r="Q3051" i="34"/>
  <c r="Q3059" i="34"/>
  <c r="Q3067" i="34"/>
  <c r="Q3155" i="34"/>
  <c r="Q3165" i="34"/>
  <c r="Q3173" i="34"/>
  <c r="R3090" i="34"/>
  <c r="P3090" i="34"/>
  <c r="Q3035" i="34"/>
  <c r="Q3237" i="34"/>
  <c r="Q3229" i="34"/>
  <c r="Q3221" i="34"/>
  <c r="Q3213" i="34"/>
  <c r="Q3177" i="34"/>
  <c r="Q3077" i="34"/>
  <c r="R3032" i="34"/>
  <c r="Q3023" i="34"/>
  <c r="R3014" i="34"/>
  <c r="P3014" i="34"/>
  <c r="Q3009" i="34"/>
  <c r="P3004" i="34"/>
  <c r="R3000" i="34"/>
  <c r="Q2987" i="34"/>
  <c r="Q3301" i="34"/>
  <c r="P3296" i="34"/>
  <c r="R3292" i="34"/>
  <c r="P3193" i="34"/>
  <c r="R3285" i="34"/>
  <c r="R3299" i="34"/>
  <c r="P3299" i="34"/>
  <c r="Q3248" i="34"/>
  <c r="Q3256" i="34"/>
  <c r="Q3264" i="34"/>
  <c r="Q3272" i="34"/>
  <c r="Q3280" i="34"/>
  <c r="P3013" i="34"/>
  <c r="R3027" i="34"/>
  <c r="P3027" i="34"/>
  <c r="P3364" i="34"/>
  <c r="Q2992" i="34"/>
  <c r="R3043" i="34"/>
  <c r="P3043" i="34"/>
  <c r="R3051" i="34"/>
  <c r="P3051" i="34"/>
  <c r="R3059" i="34"/>
  <c r="P3059" i="34"/>
  <c r="R3067" i="34"/>
  <c r="P3067" i="34"/>
  <c r="R3155" i="34"/>
  <c r="P3155" i="34"/>
  <c r="R3165" i="34"/>
  <c r="P3169" i="34"/>
  <c r="R3173" i="34"/>
  <c r="Q3090" i="34"/>
  <c r="R3035" i="34"/>
  <c r="P3035" i="34"/>
  <c r="R3237" i="34"/>
  <c r="P3233" i="34"/>
  <c r="R3229" i="34"/>
  <c r="P3225" i="34"/>
  <c r="R3221" i="34"/>
  <c r="P3217" i="34"/>
  <c r="R3213" i="34"/>
  <c r="P3181" i="34"/>
  <c r="R3177" i="34"/>
  <c r="P3081" i="34"/>
  <c r="R3077" i="34"/>
  <c r="P3073" i="34"/>
  <c r="R3023" i="34"/>
  <c r="P3023" i="34"/>
  <c r="Q3014" i="34"/>
  <c r="R3009" i="34"/>
  <c r="Q3004" i="34"/>
  <c r="R2987" i="34"/>
  <c r="P2987" i="34"/>
  <c r="P3305" i="34"/>
  <c r="R3301" i="34"/>
  <c r="Q3296" i="34"/>
  <c r="Q3193" i="34"/>
  <c r="P3244" i="34"/>
  <c r="R3248" i="34"/>
  <c r="P3252" i="34"/>
  <c r="R3256" i="34"/>
  <c r="P3260" i="34"/>
  <c r="R3264" i="34"/>
  <c r="P3268" i="34"/>
  <c r="R3272" i="34"/>
  <c r="P3276" i="34"/>
  <c r="R3280" i="34"/>
  <c r="Q2983" i="34"/>
  <c r="Q3013" i="34"/>
  <c r="P2996" i="34"/>
  <c r="R3364" i="34"/>
  <c r="R2992" i="34"/>
  <c r="Q3039" i="34"/>
  <c r="Q3047" i="34"/>
  <c r="Q3055" i="34"/>
  <c r="Q3063" i="34"/>
  <c r="Q3071" i="34"/>
  <c r="Q3169" i="34"/>
  <c r="R3086" i="34"/>
  <c r="P3086" i="34"/>
  <c r="Q3233" i="34"/>
  <c r="Q3225" i="34"/>
  <c r="Q3217" i="34"/>
  <c r="Q3181" i="34"/>
  <c r="Q3081" i="34"/>
  <c r="Q3073" i="34"/>
  <c r="P3032" i="34"/>
  <c r="Q3019" i="34"/>
  <c r="R3004" i="34"/>
  <c r="P3000" i="34"/>
  <c r="R3310" i="34"/>
  <c r="P3310" i="34"/>
  <c r="Q3305" i="34"/>
  <c r="R3296" i="34"/>
  <c r="P3292" i="34"/>
  <c r="R2414" i="34"/>
  <c r="Q3361" i="34"/>
  <c r="R2350" i="34"/>
  <c r="P2390" i="34"/>
  <c r="Q2393" i="34"/>
  <c r="Q2419" i="34"/>
  <c r="P2451" i="34"/>
  <c r="Q2383" i="34"/>
  <c r="R2386" i="34"/>
  <c r="Q2417" i="34"/>
  <c r="Q2415" i="34"/>
  <c r="R2352" i="34"/>
  <c r="P2352" i="34"/>
  <c r="R2950" i="34"/>
  <c r="P2950" i="34"/>
  <c r="Q2389" i="34"/>
  <c r="Q2387" i="34"/>
  <c r="P2418" i="34"/>
  <c r="P2351" i="34"/>
  <c r="P3361" i="34"/>
  <c r="Q2390" i="34"/>
  <c r="R2393" i="34"/>
  <c r="P2393" i="34"/>
  <c r="R2419" i="34"/>
  <c r="Q2451" i="34"/>
  <c r="R2383" i="34"/>
  <c r="P2391" i="34"/>
  <c r="R2417" i="34"/>
  <c r="P2417" i="34"/>
  <c r="R2415" i="34"/>
  <c r="Q2352" i="34"/>
  <c r="Q2950" i="34"/>
  <c r="R2389" i="34"/>
  <c r="P2389" i="34"/>
  <c r="R2387" i="34"/>
  <c r="Q2418" i="34"/>
  <c r="Q2351" i="34"/>
  <c r="P2414" i="34"/>
  <c r="P2350" i="34"/>
  <c r="R2390" i="34"/>
  <c r="R2388" i="34"/>
  <c r="P2388" i="34"/>
  <c r="R2451" i="34"/>
  <c r="Q2391" i="34"/>
  <c r="P2386" i="34"/>
  <c r="Q2385" i="34"/>
  <c r="Q2349" i="34"/>
  <c r="R2418" i="34"/>
  <c r="R2416" i="34"/>
  <c r="P2416" i="34"/>
  <c r="R2351" i="34"/>
  <c r="Q2414" i="34"/>
  <c r="R3361" i="34"/>
  <c r="Q2350" i="34"/>
  <c r="Q2388" i="34"/>
  <c r="P2419" i="34"/>
  <c r="P2383" i="34"/>
  <c r="R2391" i="34"/>
  <c r="Q2386" i="34"/>
  <c r="P2415" i="34"/>
  <c r="R2385" i="34"/>
  <c r="P2385" i="34"/>
  <c r="R2349" i="34"/>
  <c r="P2349" i="34"/>
  <c r="P2387" i="34"/>
  <c r="Q2416" i="34"/>
  <c r="R2565" i="34"/>
  <c r="P2565" i="34"/>
  <c r="R2681" i="34"/>
  <c r="P2681" i="34"/>
  <c r="Q2744" i="34"/>
  <c r="P2727" i="34"/>
  <c r="Q2909" i="34"/>
  <c r="R2970" i="34"/>
  <c r="P2970" i="34"/>
  <c r="R2485" i="34"/>
  <c r="P2485" i="34"/>
  <c r="Q2612" i="34"/>
  <c r="R2424" i="34"/>
  <c r="Q2424" i="34"/>
  <c r="P2370" i="34"/>
  <c r="R2382" i="34"/>
  <c r="R2491" i="34"/>
  <c r="Q2899" i="34"/>
  <c r="Q2955" i="34"/>
  <c r="Q2496" i="34"/>
  <c r="P2555" i="34"/>
  <c r="P2238" i="34"/>
  <c r="Q2285" i="34"/>
  <c r="R2342" i="34"/>
  <c r="P2439" i="34"/>
  <c r="R2298" i="34"/>
  <c r="R2310" i="34"/>
  <c r="P2362" i="34"/>
  <c r="R1077" i="34"/>
  <c r="Q1166" i="34"/>
  <c r="Q1373" i="34"/>
  <c r="P1500" i="34"/>
  <c r="Q1702" i="34"/>
  <c r="R1992" i="34"/>
  <c r="P1992" i="34"/>
  <c r="P2150" i="34"/>
  <c r="Q2570" i="34"/>
  <c r="R2663" i="34"/>
  <c r="R2669" i="34"/>
  <c r="P2669" i="34"/>
  <c r="Q2678" i="34"/>
  <c r="R2689" i="34"/>
  <c r="P2689" i="34"/>
  <c r="R2749" i="34"/>
  <c r="P2749" i="34"/>
  <c r="Q2728" i="34"/>
  <c r="R2825" i="34"/>
  <c r="P2825" i="34"/>
  <c r="P2459" i="34"/>
  <c r="R2914" i="34"/>
  <c r="P2914" i="34"/>
  <c r="Q2462" i="34"/>
  <c r="Q2474" i="34"/>
  <c r="Q2482" i="34"/>
  <c r="Q2490" i="34"/>
  <c r="R2547" i="34"/>
  <c r="P2551" i="34"/>
  <c r="R2617" i="34"/>
  <c r="P2617" i="34"/>
  <c r="R2625" i="34"/>
  <c r="P2625" i="34"/>
  <c r="P2635" i="34"/>
  <c r="P2394" i="34"/>
  <c r="R2398" i="34"/>
  <c r="P2402" i="34"/>
  <c r="P2425" i="34"/>
  <c r="Q2429" i="34"/>
  <c r="R2234" i="34"/>
  <c r="Q2317" i="34"/>
  <c r="Q2325" i="34"/>
  <c r="Q2371" i="34"/>
  <c r="Q2379" i="34"/>
  <c r="R2404" i="34"/>
  <c r="P2404" i="34"/>
  <c r="R2412" i="34"/>
  <c r="P2412" i="34"/>
  <c r="R2437" i="34"/>
  <c r="P2437" i="34"/>
  <c r="P2932" i="34"/>
  <c r="R2936" i="34"/>
  <c r="R2952" i="34"/>
  <c r="P2956" i="34"/>
  <c r="R2960" i="34"/>
  <c r="R2493" i="34"/>
  <c r="P2493" i="34"/>
  <c r="R2501" i="34"/>
  <c r="P2501" i="34"/>
  <c r="Q2520" i="34"/>
  <c r="Q2510" i="34"/>
  <c r="Q2556" i="34"/>
  <c r="Q2564" i="34"/>
  <c r="R3362" i="34"/>
  <c r="Q2239" i="34"/>
  <c r="Q2329" i="34"/>
  <c r="Q2335" i="34"/>
  <c r="P2447" i="34"/>
  <c r="P2282" i="34"/>
  <c r="R2286" i="34"/>
  <c r="P2290" i="34"/>
  <c r="Q2339" i="34"/>
  <c r="Q2347" i="34"/>
  <c r="R2420" i="34"/>
  <c r="P2420" i="34"/>
  <c r="Q2440" i="34"/>
  <c r="Q2241" i="34"/>
  <c r="Q2245" i="34"/>
  <c r="Q2253" i="34"/>
  <c r="R2264" i="34"/>
  <c r="P2264" i="34"/>
  <c r="Q2299" i="34"/>
  <c r="R2272" i="34"/>
  <c r="P2272" i="34"/>
  <c r="Q2353" i="34"/>
  <c r="Q2303" i="34"/>
  <c r="Q2311" i="34"/>
  <c r="Q2359" i="34"/>
  <c r="P1163" i="34"/>
  <c r="R1167" i="34"/>
  <c r="Q1234" i="34"/>
  <c r="Q1395" i="34"/>
  <c r="P1942" i="34"/>
  <c r="Q1475" i="34"/>
  <c r="P1661" i="34"/>
  <c r="R1703" i="34"/>
  <c r="P1703" i="34"/>
  <c r="Q1989" i="34"/>
  <c r="Q2061" i="34"/>
  <c r="R2096" i="34"/>
  <c r="P2096" i="34"/>
  <c r="R2122" i="34"/>
  <c r="P2126" i="34"/>
  <c r="Q2151" i="34"/>
  <c r="R2174" i="34"/>
  <c r="R2204" i="34"/>
  <c r="P2204" i="34"/>
  <c r="R2212" i="34"/>
  <c r="P2212" i="34"/>
  <c r="Q2668" i="34"/>
  <c r="Q2768" i="34"/>
  <c r="P2775" i="34"/>
  <c r="Q2828" i="34"/>
  <c r="R2481" i="34"/>
  <c r="P2481" i="34"/>
  <c r="Q2628" i="34"/>
  <c r="Q2634" i="34"/>
  <c r="R2428" i="34"/>
  <c r="Q2428" i="34"/>
  <c r="P2374" i="34"/>
  <c r="Q2411" i="34"/>
  <c r="R2445" i="34"/>
  <c r="P2445" i="34"/>
  <c r="Q2931" i="34"/>
  <c r="R2948" i="34"/>
  <c r="Q2963" i="34"/>
  <c r="R2519" i="34"/>
  <c r="P2559" i="34"/>
  <c r="R2328" i="34"/>
  <c r="P2328" i="34"/>
  <c r="Q2289" i="34"/>
  <c r="R2346" i="34"/>
  <c r="R2302" i="34"/>
  <c r="P2270" i="34"/>
  <c r="R2314" i="34"/>
  <c r="R1023" i="34"/>
  <c r="P1023" i="34"/>
  <c r="Q1160" i="34"/>
  <c r="Q1242" i="34"/>
  <c r="Q1469" i="34"/>
  <c r="Q1660" i="34"/>
  <c r="Q1722" i="34"/>
  <c r="P2026" i="34"/>
  <c r="Q2173" i="34"/>
  <c r="Q2207" i="34"/>
  <c r="P2567" i="34"/>
  <c r="R2571" i="34"/>
  <c r="Q2674" i="34"/>
  <c r="R2679" i="34"/>
  <c r="Q2565" i="34"/>
  <c r="Q2681" i="34"/>
  <c r="R2744" i="34"/>
  <c r="Q2727" i="34"/>
  <c r="R2909" i="34"/>
  <c r="Q2970" i="34"/>
  <c r="Q2485" i="34"/>
  <c r="R2612" i="34"/>
  <c r="P2624" i="34"/>
  <c r="Q2370" i="34"/>
  <c r="P2432" i="34"/>
  <c r="R2899" i="34"/>
  <c r="P2899" i="34"/>
  <c r="R2955" i="34"/>
  <c r="P2955" i="34"/>
  <c r="R2496" i="34"/>
  <c r="Q2555" i="34"/>
  <c r="Q2238" i="34"/>
  <c r="R2285" i="34"/>
  <c r="P2285" i="34"/>
  <c r="Q2439" i="34"/>
  <c r="P2267" i="34"/>
  <c r="P2279" i="34"/>
  <c r="Q2362" i="34"/>
  <c r="R1166" i="34"/>
  <c r="P1166" i="34"/>
  <c r="R1373" i="34"/>
  <c r="Q1500" i="34"/>
  <c r="R1702" i="34"/>
  <c r="Q1992" i="34"/>
  <c r="Q2150" i="34"/>
  <c r="R2570" i="34"/>
  <c r="P2570" i="34"/>
  <c r="Q2669" i="34"/>
  <c r="R2678" i="34"/>
  <c r="P2678" i="34"/>
  <c r="Q2689" i="34"/>
  <c r="Q2749" i="34"/>
  <c r="P2776" i="34"/>
  <c r="R2728" i="34"/>
  <c r="Q2825" i="34"/>
  <c r="Q2459" i="34"/>
  <c r="Q2914" i="34"/>
  <c r="R2462" i="34"/>
  <c r="P2462" i="34"/>
  <c r="R2474" i="34"/>
  <c r="P2474" i="34"/>
  <c r="R2482" i="34"/>
  <c r="P2482" i="34"/>
  <c r="R2490" i="34"/>
  <c r="P2490" i="34"/>
  <c r="Q2551" i="34"/>
  <c r="Q2617" i="34"/>
  <c r="Q2625" i="34"/>
  <c r="Q2635" i="34"/>
  <c r="Q2394" i="34"/>
  <c r="Q2402" i="34"/>
  <c r="R2425" i="34"/>
  <c r="R2429" i="34"/>
  <c r="P2429" i="34"/>
  <c r="R2317" i="34"/>
  <c r="P2317" i="34"/>
  <c r="R2325" i="34"/>
  <c r="P2325" i="34"/>
  <c r="R2371" i="34"/>
  <c r="P2375" i="34"/>
  <c r="R2379" i="34"/>
  <c r="Q2404" i="34"/>
  <c r="Q2412" i="34"/>
  <c r="Q2437" i="34"/>
  <c r="P2492" i="34"/>
  <c r="P2901" i="34"/>
  <c r="Q2932" i="34"/>
  <c r="P2945" i="34"/>
  <c r="Q2956" i="34"/>
  <c r="Q2493" i="34"/>
  <c r="Q2501" i="34"/>
  <c r="R2520" i="34"/>
  <c r="R2510" i="34"/>
  <c r="P2510" i="34"/>
  <c r="R2556" i="34"/>
  <c r="P2560" i="34"/>
  <c r="R2564" i="34"/>
  <c r="P2452" i="34"/>
  <c r="P2235" i="34"/>
  <c r="R2239" i="34"/>
  <c r="R2329" i="34"/>
  <c r="P2329" i="34"/>
  <c r="R2335" i="34"/>
  <c r="Q2447" i="34"/>
  <c r="Q2282" i="34"/>
  <c r="Q2290" i="34"/>
  <c r="R2339" i="34"/>
  <c r="P2343" i="34"/>
  <c r="R2347" i="34"/>
  <c r="Q2420" i="34"/>
  <c r="R2440" i="34"/>
  <c r="R2241" i="34"/>
  <c r="P2241" i="34"/>
  <c r="R2245" i="34"/>
  <c r="P2245" i="34"/>
  <c r="R2253" i="34"/>
  <c r="P2253" i="34"/>
  <c r="Q2264" i="34"/>
  <c r="P2295" i="34"/>
  <c r="R2299" i="34"/>
  <c r="Q2272" i="34"/>
  <c r="R2353" i="34"/>
  <c r="P2353" i="34"/>
  <c r="R2303" i="34"/>
  <c r="P2307" i="34"/>
  <c r="R2311" i="34"/>
  <c r="P2355" i="34"/>
  <c r="R2359" i="34"/>
  <c r="P2363" i="34"/>
  <c r="P1078" i="34"/>
  <c r="Q1163" i="34"/>
  <c r="R1234" i="34"/>
  <c r="P1234" i="34"/>
  <c r="R1395" i="34"/>
  <c r="P1395" i="34"/>
  <c r="R1475" i="34"/>
  <c r="P1475" i="34"/>
  <c r="Q1661" i="34"/>
  <c r="Q1703" i="34"/>
  <c r="R1989" i="34"/>
  <c r="P1989" i="34"/>
  <c r="R2061" i="34"/>
  <c r="P2061" i="34"/>
  <c r="Q2096" i="34"/>
  <c r="Q2126" i="34"/>
  <c r="R2151" i="34"/>
  <c r="P2155" i="34"/>
  <c r="Q2204" i="34"/>
  <c r="Q2212" i="34"/>
  <c r="R2668" i="34"/>
  <c r="P2676" i="34"/>
  <c r="R2768" i="34"/>
  <c r="Q2775" i="34"/>
  <c r="R2828" i="34"/>
  <c r="P2913" i="34"/>
  <c r="Q2481" i="34"/>
  <c r="P2616" i="34"/>
  <c r="R2628" i="34"/>
  <c r="R2634" i="34"/>
  <c r="P2634" i="34"/>
  <c r="Q2374" i="34"/>
  <c r="R2411" i="34"/>
  <c r="Q2445" i="34"/>
  <c r="R2931" i="34"/>
  <c r="P2931" i="34"/>
  <c r="R2963" i="34"/>
  <c r="P2963" i="34"/>
  <c r="Q2559" i="34"/>
  <c r="P3360" i="34"/>
  <c r="Q2328" i="34"/>
  <c r="R2289" i="34"/>
  <c r="P2289" i="34"/>
  <c r="P2227" i="34"/>
  <c r="P2263" i="34"/>
  <c r="Q2270" i="34"/>
  <c r="Q1023" i="34"/>
  <c r="R1160" i="34"/>
  <c r="R1242" i="34"/>
  <c r="P1242" i="34"/>
  <c r="R1469" i="34"/>
  <c r="R1660" i="34"/>
  <c r="P1660" i="34"/>
  <c r="R1722" i="34"/>
  <c r="Q2026" i="34"/>
  <c r="R2173" i="34"/>
  <c r="P2173" i="34"/>
  <c r="R2207" i="34"/>
  <c r="Q2567" i="34"/>
  <c r="P2664" i="34"/>
  <c r="R2674" i="34"/>
  <c r="P2674" i="34"/>
  <c r="Q2662" i="34"/>
  <c r="R2727" i="34"/>
  <c r="R2477" i="34"/>
  <c r="P2477" i="34"/>
  <c r="Q2624" i="34"/>
  <c r="R2368" i="34"/>
  <c r="P2368" i="34"/>
  <c r="R2316" i="34"/>
  <c r="P2316" i="34"/>
  <c r="R2370" i="34"/>
  <c r="P2382" i="34"/>
  <c r="Q2432" i="34"/>
  <c r="P2491" i="34"/>
  <c r="Q2935" i="34"/>
  <c r="R2555" i="34"/>
  <c r="Q2450" i="34"/>
  <c r="R2238" i="34"/>
  <c r="Q2446" i="34"/>
  <c r="P2342" i="34"/>
  <c r="R2439" i="34"/>
  <c r="R2248" i="34"/>
  <c r="P2248" i="34"/>
  <c r="Q2267" i="34"/>
  <c r="P2298" i="34"/>
  <c r="Q2279" i="34"/>
  <c r="P2310" i="34"/>
  <c r="R2362" i="34"/>
  <c r="P1077" i="34"/>
  <c r="R1500" i="34"/>
  <c r="R2068" i="34"/>
  <c r="P2068" i="34"/>
  <c r="R2150" i="34"/>
  <c r="Q2566" i="34"/>
  <c r="P2663" i="34"/>
  <c r="R2673" i="34"/>
  <c r="P2673" i="34"/>
  <c r="Q2682" i="34"/>
  <c r="R2769" i="34"/>
  <c r="P2769" i="34"/>
  <c r="Q2686" i="34"/>
  <c r="Q2776" i="34"/>
  <c r="R2829" i="34"/>
  <c r="P2829" i="34"/>
  <c r="R2459" i="34"/>
  <c r="R2910" i="34"/>
  <c r="P2910" i="34"/>
  <c r="Q2967" i="34"/>
  <c r="Q2466" i="34"/>
  <c r="Q2478" i="34"/>
  <c r="Q2486" i="34"/>
  <c r="P2547" i="34"/>
  <c r="R2551" i="34"/>
  <c r="R2613" i="34"/>
  <c r="P2613" i="34"/>
  <c r="R2621" i="34"/>
  <c r="P2621" i="34"/>
  <c r="Q2630" i="34"/>
  <c r="R2635" i="34"/>
  <c r="R2657" i="34"/>
  <c r="P2657" i="34"/>
  <c r="R2394" i="34"/>
  <c r="P2398" i="34"/>
  <c r="R2402" i="34"/>
  <c r="Q2425" i="34"/>
  <c r="P2234" i="34"/>
  <c r="Q2321" i="34"/>
  <c r="Q2375" i="34"/>
  <c r="R2408" i="34"/>
  <c r="P2408" i="34"/>
  <c r="R2433" i="34"/>
  <c r="P2433" i="34"/>
  <c r="R2457" i="34"/>
  <c r="P2457" i="34"/>
  <c r="Q2492" i="34"/>
  <c r="Q2658" i="34"/>
  <c r="Q2901" i="34"/>
  <c r="R2906" i="34"/>
  <c r="P2906" i="34"/>
  <c r="R2932" i="34"/>
  <c r="P2936" i="34"/>
  <c r="Q2945" i="34"/>
  <c r="P2952" i="34"/>
  <c r="R2956" i="34"/>
  <c r="P2960" i="34"/>
  <c r="R2497" i="34"/>
  <c r="P2497" i="34"/>
  <c r="Q2560" i="34"/>
  <c r="Q2452" i="34"/>
  <c r="P3362" i="34"/>
  <c r="Q2235" i="34"/>
  <c r="R2447" i="34"/>
  <c r="Q2454" i="34"/>
  <c r="R2282" i="34"/>
  <c r="P2286" i="34"/>
  <c r="R2290" i="34"/>
  <c r="Q2343" i="34"/>
  <c r="R2232" i="34"/>
  <c r="P2232" i="34"/>
  <c r="Q2249" i="34"/>
  <c r="Q2257" i="34"/>
  <c r="R2268" i="34"/>
  <c r="P2268" i="34"/>
  <c r="Q2295" i="34"/>
  <c r="R2276" i="34"/>
  <c r="P2276" i="34"/>
  <c r="Q2307" i="34"/>
  <c r="Q2355" i="34"/>
  <c r="Q2363" i="34"/>
  <c r="Q1024" i="34"/>
  <c r="Q1078" i="34"/>
  <c r="R1087" i="34"/>
  <c r="P1087" i="34"/>
  <c r="R1163" i="34"/>
  <c r="P1167" i="34"/>
  <c r="R1370" i="34"/>
  <c r="P1370" i="34"/>
  <c r="Q1942" i="34"/>
  <c r="R1942" i="34"/>
  <c r="Q1515" i="34"/>
  <c r="R1661" i="34"/>
  <c r="R1671" i="34"/>
  <c r="P1671" i="34"/>
  <c r="R1723" i="34"/>
  <c r="P1723" i="34"/>
  <c r="Q1993" i="34"/>
  <c r="Q2065" i="34"/>
  <c r="P2122" i="34"/>
  <c r="R2126" i="34"/>
  <c r="Q2155" i="34"/>
  <c r="P2174" i="34"/>
  <c r="R2208" i="34"/>
  <c r="P2208" i="34"/>
  <c r="Q2676" i="34"/>
  <c r="R2775" i="34"/>
  <c r="Q2913" i="34"/>
  <c r="R2465" i="34"/>
  <c r="P2465" i="34"/>
  <c r="Q2546" i="34"/>
  <c r="Q2616" i="34"/>
  <c r="Q2397" i="34"/>
  <c r="R2320" i="34"/>
  <c r="P2320" i="34"/>
  <c r="R2374" i="34"/>
  <c r="Q2610" i="34"/>
  <c r="P2948" i="34"/>
  <c r="P2519" i="34"/>
  <c r="R2559" i="34"/>
  <c r="R3360" i="34"/>
  <c r="Q2281" i="34"/>
  <c r="P2346" i="34"/>
  <c r="Q2227" i="34"/>
  <c r="R2244" i="34"/>
  <c r="P2244" i="34"/>
  <c r="Q2263" i="34"/>
  <c r="P2302" i="34"/>
  <c r="R2270" i="34"/>
  <c r="P2314" i="34"/>
  <c r="R2026" i="34"/>
  <c r="Q2121" i="34"/>
  <c r="R2567" i="34"/>
  <c r="P2571" i="34"/>
  <c r="Q2664" i="34"/>
  <c r="Q2670" i="34"/>
  <c r="P2679" i="34"/>
  <c r="R2662" i="34"/>
  <c r="P2662" i="34"/>
  <c r="P2744" i="34"/>
  <c r="P2909" i="34"/>
  <c r="Q2477" i="34"/>
  <c r="P2612" i="34"/>
  <c r="R2624" i="34"/>
  <c r="Q2368" i="34"/>
  <c r="P2424" i="34"/>
  <c r="Q2316" i="34"/>
  <c r="Q2382" i="34"/>
  <c r="R2432" i="34"/>
  <c r="Q2491" i="34"/>
  <c r="R2935" i="34"/>
  <c r="P2935" i="34"/>
  <c r="P2496" i="34"/>
  <c r="R2450" i="34"/>
  <c r="P2450" i="34"/>
  <c r="R2446" i="34"/>
  <c r="P2446" i="34"/>
  <c r="Q2342" i="34"/>
  <c r="Q2248" i="34"/>
  <c r="R2267" i="34"/>
  <c r="Q2298" i="34"/>
  <c r="R2279" i="34"/>
  <c r="Q2310" i="34"/>
  <c r="Q1077" i="34"/>
  <c r="P1373" i="34"/>
  <c r="P1702" i="34"/>
  <c r="Q2068" i="34"/>
  <c r="R2566" i="34"/>
  <c r="P2566" i="34"/>
  <c r="Q2663" i="34"/>
  <c r="Q2673" i="34"/>
  <c r="R2682" i="34"/>
  <c r="P2682" i="34"/>
  <c r="Q2769" i="34"/>
  <c r="R2686" i="34"/>
  <c r="P2686" i="34"/>
  <c r="R2776" i="34"/>
  <c r="P2728" i="34"/>
  <c r="Q2829" i="34"/>
  <c r="Q2910" i="34"/>
  <c r="R2967" i="34"/>
  <c r="P2967" i="34"/>
  <c r="R2466" i="34"/>
  <c r="P2466" i="34"/>
  <c r="R2478" i="34"/>
  <c r="P2478" i="34"/>
  <c r="R2486" i="34"/>
  <c r="P2486" i="34"/>
  <c r="Q2547" i="34"/>
  <c r="Q2613" i="34"/>
  <c r="Q2621" i="34"/>
  <c r="R2630" i="34"/>
  <c r="P2630" i="34"/>
  <c r="Q2657" i="34"/>
  <c r="Q2398" i="34"/>
  <c r="Q2234" i="34"/>
  <c r="R2321" i="34"/>
  <c r="P2321" i="34"/>
  <c r="P2371" i="34"/>
  <c r="R2375" i="34"/>
  <c r="P2379" i="34"/>
  <c r="Q2408" i="34"/>
  <c r="Q2433" i="34"/>
  <c r="Q2457" i="34"/>
  <c r="R2492" i="34"/>
  <c r="R2658" i="34"/>
  <c r="P2658" i="34"/>
  <c r="R2901" i="34"/>
  <c r="Q2906" i="34"/>
  <c r="Q2936" i="34"/>
  <c r="R2945" i="34"/>
  <c r="Q2952" i="34"/>
  <c r="Q2960" i="34"/>
  <c r="Q2497" i="34"/>
  <c r="P2520" i="34"/>
  <c r="P2556" i="34"/>
  <c r="R2560" i="34"/>
  <c r="P2564" i="34"/>
  <c r="R2452" i="34"/>
  <c r="Q3362" i="34"/>
  <c r="R2235" i="34"/>
  <c r="P2239" i="34"/>
  <c r="P2335" i="34"/>
  <c r="R2454" i="34"/>
  <c r="P2454" i="34"/>
  <c r="Q2286" i="34"/>
  <c r="P2339" i="34"/>
  <c r="R2343" i="34"/>
  <c r="P2347" i="34"/>
  <c r="P2440" i="34"/>
  <c r="Q2232" i="34"/>
  <c r="R2249" i="34"/>
  <c r="P2249" i="34"/>
  <c r="R2257" i="34"/>
  <c r="P2257" i="34"/>
  <c r="Q2268" i="34"/>
  <c r="R2295" i="34"/>
  <c r="P2299" i="34"/>
  <c r="Q2276" i="34"/>
  <c r="P2303" i="34"/>
  <c r="R2307" i="34"/>
  <c r="P2311" i="34"/>
  <c r="R2355" i="34"/>
  <c r="P2359" i="34"/>
  <c r="R2363" i="34"/>
  <c r="R1024" i="34"/>
  <c r="P1024" i="34"/>
  <c r="R1078" i="34"/>
  <c r="Q1087" i="34"/>
  <c r="Q1167" i="34"/>
  <c r="Q1370" i="34"/>
  <c r="R1515" i="34"/>
  <c r="P1515" i="34"/>
  <c r="Q1671" i="34"/>
  <c r="Q1723" i="34"/>
  <c r="R1993" i="34"/>
  <c r="P1993" i="34"/>
  <c r="R2065" i="34"/>
  <c r="P2065" i="34"/>
  <c r="Q2122" i="34"/>
  <c r="P2151" i="34"/>
  <c r="R2155" i="34"/>
  <c r="Q2174" i="34"/>
  <c r="Q2208" i="34"/>
  <c r="P2668" i="34"/>
  <c r="R2676" i="34"/>
  <c r="P2768" i="34"/>
  <c r="P2828" i="34"/>
  <c r="R2913" i="34"/>
  <c r="Q2465" i="34"/>
  <c r="R2546" i="34"/>
  <c r="P2546" i="34"/>
  <c r="R2616" i="34"/>
  <c r="P2628" i="34"/>
  <c r="R2397" i="34"/>
  <c r="P2397" i="34"/>
  <c r="P2428" i="34"/>
  <c r="Q2320" i="34"/>
  <c r="P2411" i="34"/>
  <c r="R2610" i="34"/>
  <c r="P2610" i="34"/>
  <c r="Q2948" i="34"/>
  <c r="Q2519" i="34"/>
  <c r="Q3360" i="34"/>
  <c r="R2281" i="34"/>
  <c r="P2281" i="34"/>
  <c r="Q2346" i="34"/>
  <c r="R2227" i="34"/>
  <c r="Q2244" i="34"/>
  <c r="R2263" i="34"/>
  <c r="Q2302" i="34"/>
  <c r="Q2314" i="34"/>
  <c r="P1160" i="34"/>
  <c r="P1469" i="34"/>
  <c r="P1722" i="34"/>
  <c r="R2121" i="34"/>
  <c r="P2121" i="34"/>
  <c r="P2207" i="34"/>
  <c r="Q2571" i="34"/>
  <c r="R2664" i="34"/>
  <c r="R2670" i="34"/>
  <c r="P2670" i="34"/>
  <c r="Q2679" i="34"/>
  <c r="R2683" i="34"/>
  <c r="Q2758" i="34"/>
  <c r="Q2750" i="34"/>
  <c r="R2725" i="34"/>
  <c r="P2725" i="34"/>
  <c r="Q2826" i="34"/>
  <c r="Q2907" i="34"/>
  <c r="P2964" i="34"/>
  <c r="R2968" i="34"/>
  <c r="P2463" i="34"/>
  <c r="R2467" i="34"/>
  <c r="P2475" i="34"/>
  <c r="R2479" i="34"/>
  <c r="P2483" i="34"/>
  <c r="R2487" i="34"/>
  <c r="R2513" i="34"/>
  <c r="P2513" i="34"/>
  <c r="Q2548" i="34"/>
  <c r="Q2618" i="34"/>
  <c r="Q2626" i="34"/>
  <c r="R2631" i="34"/>
  <c r="R2366" i="34"/>
  <c r="Q2399" i="34"/>
  <c r="Q2430" i="34"/>
  <c r="Q2271" i="34"/>
  <c r="P2318" i="34"/>
  <c r="R2322" i="34"/>
  <c r="P2326" i="34"/>
  <c r="R2376" i="34"/>
  <c r="P2376" i="34"/>
  <c r="Q2405" i="34"/>
  <c r="Q2413" i="34"/>
  <c r="Q2438" i="34"/>
  <c r="R2471" i="34"/>
  <c r="Q2897" i="34"/>
  <c r="Q2903" i="34"/>
  <c r="Q2929" i="34"/>
  <c r="Q2937" i="34"/>
  <c r="R2946" i="34"/>
  <c r="P2946" i="34"/>
  <c r="Q2953" i="34"/>
  <c r="Q2961" i="34"/>
  <c r="Q2494" i="34"/>
  <c r="Q2502" i="34"/>
  <c r="R2553" i="34"/>
  <c r="P2553" i="34"/>
  <c r="R2561" i="34"/>
  <c r="P2561" i="34"/>
  <c r="R2222" i="34"/>
  <c r="R2236" i="34"/>
  <c r="P2236" i="34"/>
  <c r="Q2259" i="34"/>
  <c r="R2455" i="34"/>
  <c r="Q2287" i="34"/>
  <c r="R2344" i="34"/>
  <c r="P2344" i="34"/>
  <c r="Q2421" i="34"/>
  <c r="P2242" i="34"/>
  <c r="P2246" i="34"/>
  <c r="R2250" i="34"/>
  <c r="P2254" i="34"/>
  <c r="R2258" i="34"/>
  <c r="Q2265" i="34"/>
  <c r="R2296" i="34"/>
  <c r="P2296" i="34"/>
  <c r="Q2273" i="34"/>
  <c r="P2354" i="34"/>
  <c r="R2308" i="34"/>
  <c r="P2308" i="34"/>
  <c r="R2356" i="34"/>
  <c r="P2356" i="34"/>
  <c r="R2364" i="34"/>
  <c r="P2364" i="34"/>
  <c r="R1083" i="34"/>
  <c r="P1083" i="34"/>
  <c r="R1231" i="34"/>
  <c r="P1235" i="34"/>
  <c r="P1396" i="34"/>
  <c r="P1484" i="34"/>
  <c r="Q1574" i="34"/>
  <c r="Q1720" i="34"/>
  <c r="P1990" i="34"/>
  <c r="R1994" i="34"/>
  <c r="P2062" i="34"/>
  <c r="R2066" i="34"/>
  <c r="Q2123" i="34"/>
  <c r="R2156" i="34"/>
  <c r="P2156" i="34"/>
  <c r="Q2175" i="34"/>
  <c r="Q2205" i="34"/>
  <c r="R2569" i="34"/>
  <c r="P2569" i="34"/>
  <c r="Q2672" i="34"/>
  <c r="R2966" i="34"/>
  <c r="P2966" i="34"/>
  <c r="R2489" i="34"/>
  <c r="P2489" i="34"/>
  <c r="Q2401" i="34"/>
  <c r="R2443" i="34"/>
  <c r="R2324" i="34"/>
  <c r="P2324" i="34"/>
  <c r="R2378" i="34"/>
  <c r="Q2436" i="34"/>
  <c r="R2944" i="34"/>
  <c r="Q2959" i="34"/>
  <c r="Q2500" i="34"/>
  <c r="R2509" i="34"/>
  <c r="P2509" i="34"/>
  <c r="R2563" i="34"/>
  <c r="P2230" i="34"/>
  <c r="R2334" i="34"/>
  <c r="R2453" i="34"/>
  <c r="P2453" i="34"/>
  <c r="R2338" i="34"/>
  <c r="R2392" i="34"/>
  <c r="P2392" i="34"/>
  <c r="Q2231" i="34"/>
  <c r="R2252" i="34"/>
  <c r="P2252" i="34"/>
  <c r="P2294" i="34"/>
  <c r="Q2275" i="34"/>
  <c r="P2306" i="34"/>
  <c r="R2358" i="34"/>
  <c r="P1085" i="34"/>
  <c r="R1398" i="34"/>
  <c r="P1398" i="34"/>
  <c r="Q1670" i="34"/>
  <c r="R2064" i="34"/>
  <c r="P2064" i="34"/>
  <c r="P2154" i="34"/>
  <c r="Q2203" i="34"/>
  <c r="Q2568" i="34"/>
  <c r="P2659" i="34"/>
  <c r="R2667" i="34"/>
  <c r="P2671" i="34"/>
  <c r="R2675" i="34"/>
  <c r="R2687" i="34"/>
  <c r="P2759" i="34"/>
  <c r="R2743" i="34"/>
  <c r="Q2726" i="34"/>
  <c r="R2823" i="34"/>
  <c r="P2827" i="34"/>
  <c r="R2831" i="34"/>
  <c r="P2908" i="34"/>
  <c r="R2912" i="34"/>
  <c r="Q2969" i="34"/>
  <c r="Q2468" i="34"/>
  <c r="Q2480" i="34"/>
  <c r="Q2488" i="34"/>
  <c r="Q2514" i="34"/>
  <c r="P2611" i="34"/>
  <c r="R2615" i="34"/>
  <c r="P2619" i="34"/>
  <c r="R2623" i="34"/>
  <c r="P2627" i="34"/>
  <c r="R2637" i="34"/>
  <c r="P2637" i="34"/>
  <c r="Q2367" i="34"/>
  <c r="R2396" i="34"/>
  <c r="P2396" i="34"/>
  <c r="R2427" i="34"/>
  <c r="Q2442" i="34"/>
  <c r="Q2315" i="34"/>
  <c r="Q2323" i="34"/>
  <c r="Q2369" i="34"/>
  <c r="Q2377" i="34"/>
  <c r="P2406" i="34"/>
  <c r="R2410" i="34"/>
  <c r="P2431" i="34"/>
  <c r="R2435" i="34"/>
  <c r="Q2472" i="34"/>
  <c r="R2609" i="34"/>
  <c r="P2609" i="34"/>
  <c r="P2904" i="34"/>
  <c r="R2758" i="34"/>
  <c r="P2758" i="34"/>
  <c r="R2750" i="34"/>
  <c r="P2750" i="34"/>
  <c r="Q2725" i="34"/>
  <c r="R2826" i="34"/>
  <c r="P2826" i="34"/>
  <c r="R2907" i="34"/>
  <c r="P2907" i="34"/>
  <c r="Q2964" i="34"/>
  <c r="Q2463" i="34"/>
  <c r="Q2475" i="34"/>
  <c r="Q2483" i="34"/>
  <c r="Q2513" i="34"/>
  <c r="R2548" i="34"/>
  <c r="P2552" i="34"/>
  <c r="R2618" i="34"/>
  <c r="P2618" i="34"/>
  <c r="R2626" i="34"/>
  <c r="P2626" i="34"/>
  <c r="P2636" i="34"/>
  <c r="P2395" i="34"/>
  <c r="R2399" i="34"/>
  <c r="P2403" i="34"/>
  <c r="R2430" i="34"/>
  <c r="P2430" i="34"/>
  <c r="R2271" i="34"/>
  <c r="Q2318" i="34"/>
  <c r="Q2326" i="34"/>
  <c r="Q2376" i="34"/>
  <c r="R2405" i="34"/>
  <c r="P2405" i="34"/>
  <c r="R2413" i="34"/>
  <c r="P2413" i="34"/>
  <c r="R2438" i="34"/>
  <c r="P2438" i="34"/>
  <c r="P2608" i="34"/>
  <c r="R2897" i="34"/>
  <c r="R2903" i="34"/>
  <c r="P2903" i="34"/>
  <c r="R2929" i="34"/>
  <c r="P2933" i="34"/>
  <c r="R2937" i="34"/>
  <c r="Q2946" i="34"/>
  <c r="R2953" i="34"/>
  <c r="P2957" i="34"/>
  <c r="R2961" i="34"/>
  <c r="R2494" i="34"/>
  <c r="P2494" i="34"/>
  <c r="R2502" i="34"/>
  <c r="P2502" i="34"/>
  <c r="Q2553" i="34"/>
  <c r="Q2561" i="34"/>
  <c r="P2949" i="34"/>
  <c r="Q2236" i="34"/>
  <c r="R2259" i="34"/>
  <c r="P2331" i="34"/>
  <c r="P2448" i="34"/>
  <c r="P2283" i="34"/>
  <c r="R2287" i="34"/>
  <c r="P2291" i="34"/>
  <c r="Q2344" i="34"/>
  <c r="R2421" i="34"/>
  <c r="P2421" i="34"/>
  <c r="Q2242" i="34"/>
  <c r="Q2246" i="34"/>
  <c r="Q2254" i="34"/>
  <c r="R2265" i="34"/>
  <c r="P2265" i="34"/>
  <c r="Q2296" i="34"/>
  <c r="R2273" i="34"/>
  <c r="P2273" i="34"/>
  <c r="Q2354" i="34"/>
  <c r="Q2308" i="34"/>
  <c r="Q2356" i="34"/>
  <c r="Q2364" i="34"/>
  <c r="Q1083" i="34"/>
  <c r="P1164" i="34"/>
  <c r="Q1235" i="34"/>
  <c r="Q1396" i="34"/>
  <c r="Q1484" i="34"/>
  <c r="R1574" i="34"/>
  <c r="P1662" i="34"/>
  <c r="R1720" i="34"/>
  <c r="P1720" i="34"/>
  <c r="Q1990" i="34"/>
  <c r="Q2062" i="34"/>
  <c r="P2119" i="34"/>
  <c r="R2123" i="34"/>
  <c r="P2127" i="34"/>
  <c r="Q2156" i="34"/>
  <c r="R2175" i="34"/>
  <c r="R2205" i="34"/>
  <c r="P2205" i="34"/>
  <c r="Q2569" i="34"/>
  <c r="R2672" i="34"/>
  <c r="P2688" i="34"/>
  <c r="P2824" i="34"/>
  <c r="Q2966" i="34"/>
  <c r="Q2489" i="34"/>
  <c r="P2620" i="34"/>
  <c r="R2401" i="34"/>
  <c r="P2401" i="34"/>
  <c r="Q2324" i="34"/>
  <c r="P2407" i="34"/>
  <c r="R2436" i="34"/>
  <c r="P2905" i="34"/>
  <c r="R2959" i="34"/>
  <c r="P2959" i="34"/>
  <c r="R2500" i="34"/>
  <c r="Q2509" i="34"/>
  <c r="Q2230" i="34"/>
  <c r="Q2453" i="34"/>
  <c r="Q2392" i="34"/>
  <c r="R2231" i="34"/>
  <c r="Q2252" i="34"/>
  <c r="Q2294" i="34"/>
  <c r="R2275" i="34"/>
  <c r="Q2306" i="34"/>
  <c r="Q1085" i="34"/>
  <c r="Q1398" i="34"/>
  <c r="R1670" i="34"/>
  <c r="Q2064" i="34"/>
  <c r="Q2154" i="34"/>
  <c r="R2203" i="34"/>
  <c r="P2211" i="34"/>
  <c r="R2568" i="34"/>
  <c r="Q2659" i="34"/>
  <c r="Q2671" i="34"/>
  <c r="P2680" i="34"/>
  <c r="Q2759" i="34"/>
  <c r="P2684" i="34"/>
  <c r="R2726" i="34"/>
  <c r="P2726" i="34"/>
  <c r="Q2827" i="34"/>
  <c r="Q2908" i="34"/>
  <c r="P2965" i="34"/>
  <c r="R2969" i="34"/>
  <c r="P2464" i="34"/>
  <c r="R2468" i="34"/>
  <c r="P2476" i="34"/>
  <c r="R2480" i="34"/>
  <c r="P2484" i="34"/>
  <c r="R2488" i="34"/>
  <c r="R2514" i="34"/>
  <c r="P2514" i="34"/>
  <c r="Q2611" i="34"/>
  <c r="Q2619" i="34"/>
  <c r="Q2627" i="34"/>
  <c r="Q2637" i="34"/>
  <c r="R2367" i="34"/>
  <c r="Q2396" i="34"/>
  <c r="P2423" i="34"/>
  <c r="R2442" i="34"/>
  <c r="P2442" i="34"/>
  <c r="R2315" i="34"/>
  <c r="P2319" i="34"/>
  <c r="R2323" i="34"/>
  <c r="R2369" i="34"/>
  <c r="P2369" i="34"/>
  <c r="R2377" i="34"/>
  <c r="P2377" i="34"/>
  <c r="Q2406" i="34"/>
  <c r="Q2431" i="34"/>
  <c r="P2444" i="34"/>
  <c r="R2472" i="34"/>
  <c r="Q2609" i="34"/>
  <c r="Q2904" i="34"/>
  <c r="P2683" i="34"/>
  <c r="Q2742" i="34"/>
  <c r="R2817" i="34"/>
  <c r="P2817" i="34"/>
  <c r="Q2822" i="34"/>
  <c r="Q2830" i="34"/>
  <c r="Q2911" i="34"/>
  <c r="R2964" i="34"/>
  <c r="P2968" i="34"/>
  <c r="R2463" i="34"/>
  <c r="P2467" i="34"/>
  <c r="R2475" i="34"/>
  <c r="P2479" i="34"/>
  <c r="R2483" i="34"/>
  <c r="P2487" i="34"/>
  <c r="Q2552" i="34"/>
  <c r="Q2614" i="34"/>
  <c r="Q2622" i="34"/>
  <c r="P2631" i="34"/>
  <c r="Q2636" i="34"/>
  <c r="P2366" i="34"/>
  <c r="Q2395" i="34"/>
  <c r="Q2403" i="34"/>
  <c r="P2426" i="34"/>
  <c r="Q2426" i="34"/>
  <c r="R2318" i="34"/>
  <c r="P2322" i="34"/>
  <c r="R2326" i="34"/>
  <c r="R2372" i="34"/>
  <c r="P2372" i="34"/>
  <c r="R2380" i="34"/>
  <c r="P2380" i="34"/>
  <c r="Q2409" i="34"/>
  <c r="Q2434" i="34"/>
  <c r="P2471" i="34"/>
  <c r="Q2608" i="34"/>
  <c r="Q2933" i="34"/>
  <c r="Q2957" i="34"/>
  <c r="Q2498" i="34"/>
  <c r="R2745" i="34"/>
  <c r="P2745" i="34"/>
  <c r="R2557" i="34"/>
  <c r="P2557" i="34"/>
  <c r="P2222" i="34"/>
  <c r="Q2949" i="34"/>
  <c r="R2228" i="34"/>
  <c r="P2228" i="34"/>
  <c r="Q2331" i="34"/>
  <c r="R2336" i="34"/>
  <c r="P2336" i="34"/>
  <c r="Q2448" i="34"/>
  <c r="P2455" i="34"/>
  <c r="Q2283" i="34"/>
  <c r="Q2291" i="34"/>
  <c r="R2340" i="34"/>
  <c r="P2340" i="34"/>
  <c r="R2348" i="34"/>
  <c r="P2348" i="34"/>
  <c r="R2441" i="34"/>
  <c r="P2441" i="34"/>
  <c r="R2242" i="34"/>
  <c r="R2260" i="34"/>
  <c r="P2260" i="34"/>
  <c r="R2246" i="34"/>
  <c r="P2250" i="34"/>
  <c r="R2254" i="34"/>
  <c r="P2258" i="34"/>
  <c r="Q2269" i="34"/>
  <c r="R2300" i="34"/>
  <c r="P2300" i="34"/>
  <c r="Q2277" i="34"/>
  <c r="R2354" i="34"/>
  <c r="R2304" i="34"/>
  <c r="P2304" i="34"/>
  <c r="R2312" i="34"/>
  <c r="P2312" i="34"/>
  <c r="R2360" i="34"/>
  <c r="P2360" i="34"/>
  <c r="R1075" i="34"/>
  <c r="P1075" i="34"/>
  <c r="Q1158" i="34"/>
  <c r="Q1164" i="34"/>
  <c r="P1231" i="34"/>
  <c r="R1235" i="34"/>
  <c r="Q1371" i="34"/>
  <c r="R1396" i="34"/>
  <c r="Q1467" i="34"/>
  <c r="R1484" i="34"/>
  <c r="Q1662" i="34"/>
  <c r="Q1672" i="34"/>
  <c r="R1727" i="34"/>
  <c r="P1727" i="34"/>
  <c r="R1990" i="34"/>
  <c r="P1994" i="34"/>
  <c r="R2062" i="34"/>
  <c r="P2066" i="34"/>
  <c r="Q2119" i="34"/>
  <c r="Q2127" i="34"/>
  <c r="R2152" i="34"/>
  <c r="P2152" i="34"/>
  <c r="Q2209" i="34"/>
  <c r="Q2688" i="34"/>
  <c r="R2685" i="34"/>
  <c r="P2685" i="34"/>
  <c r="Q2824" i="34"/>
  <c r="Q2458" i="34"/>
  <c r="R2473" i="34"/>
  <c r="P2473" i="34"/>
  <c r="Q2550" i="34"/>
  <c r="Q2620" i="34"/>
  <c r="Q2638" i="34"/>
  <c r="P2443" i="34"/>
  <c r="P2378" i="34"/>
  <c r="Q2407" i="34"/>
  <c r="Q2905" i="34"/>
  <c r="P2944" i="34"/>
  <c r="P2563" i="34"/>
  <c r="R2230" i="34"/>
  <c r="P2334" i="34"/>
  <c r="P2338" i="34"/>
  <c r="R2256" i="34"/>
  <c r="P2256" i="34"/>
  <c r="R2294" i="34"/>
  <c r="R2306" i="34"/>
  <c r="P2358" i="34"/>
  <c r="R1085" i="34"/>
  <c r="R1233" i="34"/>
  <c r="P1233" i="34"/>
  <c r="Q2125" i="34"/>
  <c r="R2154" i="34"/>
  <c r="Q2211" i="34"/>
  <c r="R2659" i="34"/>
  <c r="P2667" i="34"/>
  <c r="R2671" i="34"/>
  <c r="P2675" i="34"/>
  <c r="Q2680" i="34"/>
  <c r="P2687" i="34"/>
  <c r="R2759" i="34"/>
  <c r="P2743" i="34"/>
  <c r="Q2684" i="34"/>
  <c r="Q2818" i="34"/>
  <c r="P2823" i="34"/>
  <c r="R2827" i="34"/>
  <c r="P2831" i="34"/>
  <c r="R2908" i="34"/>
  <c r="P2912" i="34"/>
  <c r="Q2965" i="34"/>
  <c r="Q2464" i="34"/>
  <c r="Q2476" i="34"/>
  <c r="Q2484" i="34"/>
  <c r="R2549" i="34"/>
  <c r="P2549" i="34"/>
  <c r="R2611" i="34"/>
  <c r="P2615" i="34"/>
  <c r="R2619" i="34"/>
  <c r="P2623" i="34"/>
  <c r="R2627" i="34"/>
  <c r="R2633" i="34"/>
  <c r="P2633" i="34"/>
  <c r="R2400" i="34"/>
  <c r="P2400" i="34"/>
  <c r="Q2423" i="34"/>
  <c r="P2427" i="34"/>
  <c r="Q2319" i="34"/>
  <c r="Q2373" i="34"/>
  <c r="Q2381" i="34"/>
  <c r="R2406" i="34"/>
  <c r="P2410" i="34"/>
  <c r="R2431" i="34"/>
  <c r="P2435" i="34"/>
  <c r="Q2444" i="34"/>
  <c r="R2898" i="34"/>
  <c r="P2898" i="34"/>
  <c r="R2904" i="34"/>
  <c r="Q2683" i="34"/>
  <c r="R2742" i="34"/>
  <c r="P2742" i="34"/>
  <c r="Q2817" i="34"/>
  <c r="R2822" i="34"/>
  <c r="P2822" i="34"/>
  <c r="R2830" i="34"/>
  <c r="P2830" i="34"/>
  <c r="R2911" i="34"/>
  <c r="P2911" i="34"/>
  <c r="Q2968" i="34"/>
  <c r="Q2467" i="34"/>
  <c r="Q2479" i="34"/>
  <c r="Q2487" i="34"/>
  <c r="P2548" i="34"/>
  <c r="R2552" i="34"/>
  <c r="R2614" i="34"/>
  <c r="P2614" i="34"/>
  <c r="R2622" i="34"/>
  <c r="P2622" i="34"/>
  <c r="Q2631" i="34"/>
  <c r="R2636" i="34"/>
  <c r="Q2366" i="34"/>
  <c r="R2395" i="34"/>
  <c r="P2399" i="34"/>
  <c r="R2403" i="34"/>
  <c r="R2426" i="34"/>
  <c r="P2271" i="34"/>
  <c r="Q2322" i="34"/>
  <c r="Q2372" i="34"/>
  <c r="Q2380" i="34"/>
  <c r="R2409" i="34"/>
  <c r="P2409" i="34"/>
  <c r="R2434" i="34"/>
  <c r="P2434" i="34"/>
  <c r="Q2471" i="34"/>
  <c r="R2608" i="34"/>
  <c r="P2897" i="34"/>
  <c r="P2929" i="34"/>
  <c r="R2933" i="34"/>
  <c r="P2937" i="34"/>
  <c r="P2953" i="34"/>
  <c r="R2957" i="34"/>
  <c r="P2961" i="34"/>
  <c r="R2498" i="34"/>
  <c r="P2498" i="34"/>
  <c r="Q2745" i="34"/>
  <c r="Q2557" i="34"/>
  <c r="Q2222" i="34"/>
  <c r="R2949" i="34"/>
  <c r="Q2228" i="34"/>
  <c r="P2259" i="34"/>
  <c r="R2331" i="34"/>
  <c r="Q2336" i="34"/>
  <c r="R2448" i="34"/>
  <c r="Q2455" i="34"/>
  <c r="R2283" i="34"/>
  <c r="P2287" i="34"/>
  <c r="R2291" i="34"/>
  <c r="Q2340" i="34"/>
  <c r="Q2348" i="34"/>
  <c r="Q2441" i="34"/>
  <c r="Q2260" i="34"/>
  <c r="Q2250" i="34"/>
  <c r="Q2258" i="34"/>
  <c r="R2269" i="34"/>
  <c r="P2269" i="34"/>
  <c r="Q2300" i="34"/>
  <c r="R2277" i="34"/>
  <c r="P2277" i="34"/>
  <c r="Q2304" i="34"/>
  <c r="Q2312" i="34"/>
  <c r="Q2360" i="34"/>
  <c r="Q1075" i="34"/>
  <c r="R1158" i="34"/>
  <c r="P1158" i="34"/>
  <c r="R1164" i="34"/>
  <c r="Q1231" i="34"/>
  <c r="R1371" i="34"/>
  <c r="P1371" i="34"/>
  <c r="R1467" i="34"/>
  <c r="P1467" i="34"/>
  <c r="P1574" i="34"/>
  <c r="R1662" i="34"/>
  <c r="R1672" i="34"/>
  <c r="P1672" i="34"/>
  <c r="Q1727" i="34"/>
  <c r="Q1994" i="34"/>
  <c r="Q2066" i="34"/>
  <c r="R2119" i="34"/>
  <c r="P2123" i="34"/>
  <c r="R2127" i="34"/>
  <c r="Q2152" i="34"/>
  <c r="P2175" i="34"/>
  <c r="R2209" i="34"/>
  <c r="P2209" i="34"/>
  <c r="P2672" i="34"/>
  <c r="R2688" i="34"/>
  <c r="Q2685" i="34"/>
  <c r="R2824" i="34"/>
  <c r="R2458" i="34"/>
  <c r="P2458" i="34"/>
  <c r="Q2473" i="34"/>
  <c r="R2550" i="34"/>
  <c r="P2550" i="34"/>
  <c r="R2620" i="34"/>
  <c r="R2638" i="34"/>
  <c r="P2638" i="34"/>
  <c r="Q2443" i="34"/>
  <c r="Q2378" i="34"/>
  <c r="R2407" i="34"/>
  <c r="P2436" i="34"/>
  <c r="R2905" i="34"/>
  <c r="Q2944" i="34"/>
  <c r="P2500" i="34"/>
  <c r="Q2563" i="34"/>
  <c r="Q2334" i="34"/>
  <c r="Q2338" i="34"/>
  <c r="P2231" i="34"/>
  <c r="Q2256" i="34"/>
  <c r="P2275" i="34"/>
  <c r="Q2358" i="34"/>
  <c r="Q1233" i="34"/>
  <c r="P1670" i="34"/>
  <c r="R2125" i="34"/>
  <c r="P2125" i="34"/>
  <c r="P2203" i="34"/>
  <c r="R2211" i="34"/>
  <c r="P2568" i="34"/>
  <c r="Q2667" i="34"/>
  <c r="Q2675" i="34"/>
  <c r="R2680" i="34"/>
  <c r="Q2687" i="34"/>
  <c r="Q2743" i="34"/>
  <c r="R2684" i="34"/>
  <c r="R2818" i="34"/>
  <c r="P2818" i="34"/>
  <c r="Q2823" i="34"/>
  <c r="Q2831" i="34"/>
  <c r="Q2912" i="34"/>
  <c r="R2965" i="34"/>
  <c r="P2969" i="34"/>
  <c r="R2464" i="34"/>
  <c r="P2468" i="34"/>
  <c r="R2476" i="34"/>
  <c r="P2480" i="34"/>
  <c r="R2484" i="34"/>
  <c r="P2488" i="34"/>
  <c r="Q2549" i="34"/>
  <c r="Q2615" i="34"/>
  <c r="Q2623" i="34"/>
  <c r="Q2633" i="34"/>
  <c r="P2367" i="34"/>
  <c r="Q2400" i="34"/>
  <c r="R2423" i="34"/>
  <c r="Q2427" i="34"/>
  <c r="P2315" i="34"/>
  <c r="R2319" i="34"/>
  <c r="P2323" i="34"/>
  <c r="R2373" i="34"/>
  <c r="P2373" i="34"/>
  <c r="R2381" i="34"/>
  <c r="P2381" i="34"/>
  <c r="Q2410" i="34"/>
  <c r="Q2435" i="34"/>
  <c r="R2444" i="34"/>
  <c r="P2472" i="34"/>
  <c r="Q2898" i="34"/>
  <c r="Q2930" i="34"/>
  <c r="R2943" i="34"/>
  <c r="P2943" i="34"/>
  <c r="Q2954" i="34"/>
  <c r="Q2962" i="34"/>
  <c r="Q2499" i="34"/>
  <c r="Q2507" i="34"/>
  <c r="R2558" i="34"/>
  <c r="P2558" i="34"/>
  <c r="P2223" i="34"/>
  <c r="R2229" i="34"/>
  <c r="P2229" i="34"/>
  <c r="P2327" i="34"/>
  <c r="R2337" i="34"/>
  <c r="P2337" i="34"/>
  <c r="Q2280" i="34"/>
  <c r="Q2288" i="34"/>
  <c r="R2341" i="34"/>
  <c r="P2341" i="34"/>
  <c r="Q2384" i="34"/>
  <c r="Q2226" i="34"/>
  <c r="R2243" i="34"/>
  <c r="R2261" i="34"/>
  <c r="P2261" i="34"/>
  <c r="R2247" i="34"/>
  <c r="P2251" i="34"/>
  <c r="R2255" i="34"/>
  <c r="Q2262" i="34"/>
  <c r="R2293" i="34"/>
  <c r="P2293" i="34"/>
  <c r="R2301" i="34"/>
  <c r="P2301" i="34"/>
  <c r="Q2278" i="34"/>
  <c r="R2305" i="34"/>
  <c r="P2305" i="34"/>
  <c r="R2313" i="34"/>
  <c r="P2313" i="34"/>
  <c r="R2361" i="34"/>
  <c r="P2361" i="34"/>
  <c r="R1076" i="34"/>
  <c r="P1076" i="34"/>
  <c r="Q1159" i="34"/>
  <c r="P1232" i="34"/>
  <c r="Q1372" i="34"/>
  <c r="R1397" i="34"/>
  <c r="Q1468" i="34"/>
  <c r="Q1659" i="34"/>
  <c r="Q1673" i="34"/>
  <c r="P1754" i="34"/>
  <c r="R1991" i="34"/>
  <c r="P1995" i="34"/>
  <c r="R2063" i="34"/>
  <c r="P2067" i="34"/>
  <c r="Q2124" i="34"/>
  <c r="R2153" i="34"/>
  <c r="P2153" i="34"/>
  <c r="Q2202" i="34"/>
  <c r="Q2210" i="34"/>
  <c r="Q1965" i="34"/>
  <c r="Q1973" i="34"/>
  <c r="R1962" i="34"/>
  <c r="P1966" i="34"/>
  <c r="R1970" i="34"/>
  <c r="Q1963" i="34"/>
  <c r="Q1971" i="34"/>
  <c r="R1968" i="34"/>
  <c r="P1968" i="34"/>
  <c r="R2934" i="34"/>
  <c r="P2934" i="34"/>
  <c r="Q2947" i="34"/>
  <c r="R2958" i="34"/>
  <c r="P2958" i="34"/>
  <c r="P2495" i="34"/>
  <c r="R2499" i="34"/>
  <c r="Q2518" i="34"/>
  <c r="R2507" i="34"/>
  <c r="Q2554" i="34"/>
  <c r="Q2562" i="34"/>
  <c r="Q2223" i="34"/>
  <c r="Q2951" i="34"/>
  <c r="Q2237" i="34"/>
  <c r="Q2327" i="34"/>
  <c r="Q2333" i="34"/>
  <c r="R2449" i="34"/>
  <c r="P2449" i="34"/>
  <c r="R2284" i="34"/>
  <c r="P2284" i="34"/>
  <c r="R2292" i="34"/>
  <c r="P2292" i="34"/>
  <c r="Q2345" i="34"/>
  <c r="P2422" i="34"/>
  <c r="R2226" i="34"/>
  <c r="Q2251" i="34"/>
  <c r="R2262" i="34"/>
  <c r="P2266" i="34"/>
  <c r="Q2297" i="34"/>
  <c r="P2274" i="34"/>
  <c r="R2278" i="34"/>
  <c r="Q2233" i="34"/>
  <c r="Q2309" i="34"/>
  <c r="Q2357" i="34"/>
  <c r="Q2365" i="34"/>
  <c r="Q1084" i="34"/>
  <c r="R1159" i="34"/>
  <c r="R1165" i="34"/>
  <c r="P1165" i="34"/>
  <c r="Q1232" i="34"/>
  <c r="R1241" i="34"/>
  <c r="P1241" i="34"/>
  <c r="R1372" i="34"/>
  <c r="R1468" i="34"/>
  <c r="Q1499" i="34"/>
  <c r="R1663" i="34"/>
  <c r="P1663" i="34"/>
  <c r="R1673" i="34"/>
  <c r="P1721" i="34"/>
  <c r="Q1754" i="34"/>
  <c r="Q1995" i="34"/>
  <c r="Q2067" i="34"/>
  <c r="R2120" i="34"/>
  <c r="P2120" i="34"/>
  <c r="Q2149" i="34"/>
  <c r="R2172" i="34"/>
  <c r="P2172" i="34"/>
  <c r="R2202" i="34"/>
  <c r="P2206" i="34"/>
  <c r="R2210" i="34"/>
  <c r="P1961" i="34"/>
  <c r="R1965" i="34"/>
  <c r="P1969" i="34"/>
  <c r="R1973" i="34"/>
  <c r="Q1966" i="34"/>
  <c r="R1967" i="34"/>
  <c r="P1967" i="34"/>
  <c r="Q1964" i="34"/>
  <c r="Q1972" i="34"/>
  <c r="Q2934" i="34"/>
  <c r="R2947" i="34"/>
  <c r="P2947" i="34"/>
  <c r="Q2958" i="34"/>
  <c r="Q2495" i="34"/>
  <c r="R2518" i="34"/>
  <c r="P2518" i="34"/>
  <c r="R2554" i="34"/>
  <c r="P2554" i="34"/>
  <c r="R2562" i="34"/>
  <c r="P2562" i="34"/>
  <c r="R2223" i="34"/>
  <c r="R2951" i="34"/>
  <c r="P2951" i="34"/>
  <c r="R2237" i="34"/>
  <c r="P2237" i="34"/>
  <c r="R2327" i="34"/>
  <c r="R2333" i="34"/>
  <c r="P2333" i="34"/>
  <c r="Q2449" i="34"/>
  <c r="Q2284" i="34"/>
  <c r="Q2292" i="34"/>
  <c r="R2345" i="34"/>
  <c r="P2345" i="34"/>
  <c r="Q2422" i="34"/>
  <c r="P2243" i="34"/>
  <c r="P2247" i="34"/>
  <c r="R2251" i="34"/>
  <c r="P2255" i="34"/>
  <c r="Q2266" i="34"/>
  <c r="R2297" i="34"/>
  <c r="P2297" i="34"/>
  <c r="Q2274" i="34"/>
  <c r="R2233" i="34"/>
  <c r="P2233" i="34"/>
  <c r="R2309" i="34"/>
  <c r="P2309" i="34"/>
  <c r="R2357" i="34"/>
  <c r="P2357" i="34"/>
  <c r="R2365" i="34"/>
  <c r="P2365" i="34"/>
  <c r="R1084" i="34"/>
  <c r="P1084" i="34"/>
  <c r="Q1165" i="34"/>
  <c r="R1232" i="34"/>
  <c r="Q1241" i="34"/>
  <c r="P1397" i="34"/>
  <c r="R1499" i="34"/>
  <c r="P1499" i="34"/>
  <c r="Q1663" i="34"/>
  <c r="Q1721" i="34"/>
  <c r="R1754" i="34"/>
  <c r="P1991" i="34"/>
  <c r="R1995" i="34"/>
  <c r="P2063" i="34"/>
  <c r="R2067" i="34"/>
  <c r="Q2120" i="34"/>
  <c r="R2149" i="34"/>
  <c r="P2149" i="34"/>
  <c r="Q2172" i="34"/>
  <c r="Q2206" i="34"/>
  <c r="Q1961" i="34"/>
  <c r="Q1969" i="34"/>
  <c r="P1962" i="34"/>
  <c r="R1966" i="34"/>
  <c r="P1970" i="34"/>
  <c r="Q1967" i="34"/>
  <c r="R1964" i="34"/>
  <c r="P1964" i="34"/>
  <c r="R1972" i="34"/>
  <c r="P1972" i="34"/>
  <c r="R2930" i="34"/>
  <c r="P2930" i="34"/>
  <c r="Q2943" i="34"/>
  <c r="R2954" i="34"/>
  <c r="P2954" i="34"/>
  <c r="R2962" i="34"/>
  <c r="P2962" i="34"/>
  <c r="R2495" i="34"/>
  <c r="P2499" i="34"/>
  <c r="P2507" i="34"/>
  <c r="Q2558" i="34"/>
  <c r="Q2229" i="34"/>
  <c r="Q2337" i="34"/>
  <c r="R2280" i="34"/>
  <c r="P2280" i="34"/>
  <c r="R2288" i="34"/>
  <c r="P2288" i="34"/>
  <c r="Q2341" i="34"/>
  <c r="R2384" i="34"/>
  <c r="P2384" i="34"/>
  <c r="R2422" i="34"/>
  <c r="P2226" i="34"/>
  <c r="Q2243" i="34"/>
  <c r="Q2261" i="34"/>
  <c r="Q2247" i="34"/>
  <c r="Q2255" i="34"/>
  <c r="P2262" i="34"/>
  <c r="R2266" i="34"/>
  <c r="Q2293" i="34"/>
  <c r="Q2301" i="34"/>
  <c r="R2274" i="34"/>
  <c r="P2278" i="34"/>
  <c r="Q2305" i="34"/>
  <c r="Q2313" i="34"/>
  <c r="Q2361" i="34"/>
  <c r="Q1076" i="34"/>
  <c r="P1159" i="34"/>
  <c r="P1372" i="34"/>
  <c r="Q1397" i="34"/>
  <c r="P1468" i="34"/>
  <c r="R1659" i="34"/>
  <c r="P1659" i="34"/>
  <c r="P1673" i="34"/>
  <c r="R1721" i="34"/>
  <c r="Q1991" i="34"/>
  <c r="Q2063" i="34"/>
  <c r="R2124" i="34"/>
  <c r="P2124" i="34"/>
  <c r="Q2153" i="34"/>
  <c r="P2202" i="34"/>
  <c r="R2206" i="34"/>
  <c r="P2210" i="34"/>
  <c r="R1961" i="34"/>
  <c r="P1965" i="34"/>
  <c r="R1969" i="34"/>
  <c r="P1973" i="34"/>
  <c r="Q1962" i="34"/>
  <c r="Q1970" i="34"/>
  <c r="R1963" i="34"/>
  <c r="P1963" i="34"/>
  <c r="R1971" i="34"/>
  <c r="P1971" i="34"/>
  <c r="Q1968" i="34"/>
  <c r="Q3343" i="34"/>
  <c r="Q3351" i="34"/>
  <c r="R3359" i="34"/>
  <c r="Q2225" i="34"/>
  <c r="Q2981" i="34"/>
  <c r="P3326" i="34"/>
  <c r="R3330" i="34"/>
  <c r="P3334" i="34"/>
  <c r="R2896" i="34"/>
  <c r="R2875" i="34"/>
  <c r="Q2879" i="34"/>
  <c r="Q2887" i="34"/>
  <c r="Q2646" i="34"/>
  <c r="Q2806" i="34"/>
  <c r="R2757" i="34"/>
  <c r="P2757" i="34"/>
  <c r="R2892" i="34"/>
  <c r="Q2199" i="34"/>
  <c r="R1189" i="34"/>
  <c r="P1189" i="34"/>
  <c r="Q1018" i="34"/>
  <c r="R2713" i="34"/>
  <c r="P2713" i="34"/>
  <c r="R2114" i="34"/>
  <c r="P2118" i="34"/>
  <c r="R2148" i="34"/>
  <c r="P2148" i="34"/>
  <c r="R2192" i="34"/>
  <c r="P2192" i="34"/>
  <c r="R1988" i="34"/>
  <c r="P1988" i="34"/>
  <c r="Q2055" i="34"/>
  <c r="Q2111" i="34"/>
  <c r="R1651" i="34"/>
  <c r="P1651" i="34"/>
  <c r="P1685" i="34"/>
  <c r="Q1698" i="34"/>
  <c r="P1753" i="34"/>
  <c r="Q1950" i="34"/>
  <c r="R1378" i="34"/>
  <c r="P1378" i="34"/>
  <c r="Q1288" i="34"/>
  <c r="R1348" i="34"/>
  <c r="P1939" i="34"/>
  <c r="R1071" i="34"/>
  <c r="P1071" i="34"/>
  <c r="Q1148" i="34"/>
  <c r="Q1154" i="34"/>
  <c r="Q1194" i="34"/>
  <c r="R2140" i="34"/>
  <c r="P2140" i="34"/>
  <c r="R1067" i="34"/>
  <c r="P1067" i="34"/>
  <c r="R2138" i="34"/>
  <c r="R2092" i="34"/>
  <c r="P2092" i="34"/>
  <c r="Q2077" i="34"/>
  <c r="R2040" i="34"/>
  <c r="P2040" i="34"/>
  <c r="Q2011" i="34"/>
  <c r="P2006" i="34"/>
  <c r="R2002" i="34"/>
  <c r="Q1748" i="34"/>
  <c r="P1621" i="34"/>
  <c r="P1595" i="34"/>
  <c r="R1591" i="34"/>
  <c r="P1561" i="34"/>
  <c r="R1557" i="34"/>
  <c r="R1547" i="34"/>
  <c r="P1547" i="34"/>
  <c r="Q1938" i="34"/>
  <c r="R1938" i="34"/>
  <c r="Q1377" i="34"/>
  <c r="P1340" i="34"/>
  <c r="R1135" i="34"/>
  <c r="P1131" i="34"/>
  <c r="Q1094" i="34"/>
  <c r="P1094" i="34"/>
  <c r="R1061" i="34"/>
  <c r="R995" i="34"/>
  <c r="P995" i="34"/>
  <c r="R979" i="34"/>
  <c r="P979" i="34"/>
  <c r="R941" i="34"/>
  <c r="P937" i="34"/>
  <c r="Q926" i="34"/>
  <c r="Q918" i="34"/>
  <c r="Q1080" i="34"/>
  <c r="Q1114" i="34"/>
  <c r="Q1140" i="34"/>
  <c r="R1141" i="34"/>
  <c r="P1141" i="34"/>
  <c r="Q352" i="34"/>
  <c r="P466" i="34"/>
  <c r="R913" i="34"/>
  <c r="Q1206" i="34"/>
  <c r="P1013" i="34"/>
  <c r="R69" i="34"/>
  <c r="P69" i="34"/>
  <c r="R74" i="34"/>
  <c r="P78" i="34"/>
  <c r="R169" i="34"/>
  <c r="P169" i="34"/>
  <c r="Q606" i="34"/>
  <c r="Q636" i="34"/>
  <c r="Q658" i="34"/>
  <c r="P658" i="34"/>
  <c r="Q680" i="34"/>
  <c r="Q688" i="34"/>
  <c r="Q712" i="34"/>
  <c r="R735" i="34"/>
  <c r="Q742" i="34"/>
  <c r="R3340" i="34"/>
  <c r="P3340" i="34"/>
  <c r="R3348" i="34"/>
  <c r="P3348" i="34"/>
  <c r="R3356" i="34"/>
  <c r="P3356" i="34"/>
  <c r="Q2923" i="34"/>
  <c r="R2978" i="34"/>
  <c r="P2978" i="34"/>
  <c r="R3327" i="34"/>
  <c r="Q3331" i="34"/>
  <c r="R2942" i="34"/>
  <c r="P2942" i="34"/>
  <c r="P2880" i="34"/>
  <c r="R2884" i="34"/>
  <c r="P2888" i="34"/>
  <c r="R2643" i="34"/>
  <c r="P2803" i="34"/>
  <c r="P2807" i="34"/>
  <c r="R2461" i="34"/>
  <c r="P2461" i="34"/>
  <c r="Q2893" i="34"/>
  <c r="R2196" i="34"/>
  <c r="P2196" i="34"/>
  <c r="Q2690" i="34"/>
  <c r="R2641" i="34"/>
  <c r="P2641" i="34"/>
  <c r="Q2115" i="34"/>
  <c r="Q2141" i="34"/>
  <c r="P2166" i="34"/>
  <c r="R2170" i="34"/>
  <c r="Q2193" i="34"/>
  <c r="R2056" i="34"/>
  <c r="P2056" i="34"/>
  <c r="R1514" i="34"/>
  <c r="P1514" i="34"/>
  <c r="Q1656" i="34"/>
  <c r="Q1686" i="34"/>
  <c r="R1699" i="34"/>
  <c r="P1699" i="34"/>
  <c r="Q1947" i="34"/>
  <c r="R1951" i="34"/>
  <c r="P1951" i="34"/>
  <c r="P1227" i="34"/>
  <c r="Q1367" i="34"/>
  <c r="R1940" i="34"/>
  <c r="Q1483" i="34"/>
  <c r="R1149" i="34"/>
  <c r="P1149" i="34"/>
  <c r="R1155" i="34"/>
  <c r="P1191" i="34"/>
  <c r="R1195" i="34"/>
  <c r="P1199" i="34"/>
  <c r="R997" i="34"/>
  <c r="P1001" i="34"/>
  <c r="Q2137" i="34"/>
  <c r="Q2091" i="34"/>
  <c r="R2080" i="34"/>
  <c r="P2080" i="34"/>
  <c r="Q2039" i="34"/>
  <c r="P2018" i="34"/>
  <c r="R2014" i="34"/>
  <c r="P2010" i="34"/>
  <c r="Q2001" i="34"/>
  <c r="R1743" i="34"/>
  <c r="P1743" i="34"/>
  <c r="R1601" i="34"/>
  <c r="P1601" i="34"/>
  <c r="Q1590" i="34"/>
  <c r="Q1556" i="34"/>
  <c r="Q1546" i="34"/>
  <c r="Q1134" i="34"/>
  <c r="R1097" i="34"/>
  <c r="P1097" i="34"/>
  <c r="Q1060" i="34"/>
  <c r="Q994" i="34"/>
  <c r="Q940" i="34"/>
  <c r="R929" i="34"/>
  <c r="P925" i="34"/>
  <c r="R921" i="34"/>
  <c r="Q904" i="34"/>
  <c r="R1081" i="34"/>
  <c r="P1111" i="34"/>
  <c r="R1115" i="34"/>
  <c r="Q1150" i="34"/>
  <c r="Q1146" i="34"/>
  <c r="R353" i="34"/>
  <c r="R363" i="34"/>
  <c r="P363" i="34"/>
  <c r="R1207" i="34"/>
  <c r="Q1014" i="34"/>
  <c r="Q1056" i="34"/>
  <c r="Q66" i="34"/>
  <c r="R71" i="34"/>
  <c r="Q79" i="34"/>
  <c r="P629" i="34"/>
  <c r="R637" i="34"/>
  <c r="P641" i="34"/>
  <c r="P655" i="34"/>
  <c r="R659" i="34"/>
  <c r="P663" i="34"/>
  <c r="R681" i="34"/>
  <c r="P681" i="34"/>
  <c r="R689" i="34"/>
  <c r="P689" i="34"/>
  <c r="Q698" i="34"/>
  <c r="R717" i="34"/>
  <c r="P717" i="34"/>
  <c r="Q732" i="34"/>
  <c r="R743" i="34"/>
  <c r="P751" i="34"/>
  <c r="Q3345" i="34"/>
  <c r="Q3353" i="34"/>
  <c r="R2924" i="34"/>
  <c r="P2928" i="34"/>
  <c r="P3324" i="34"/>
  <c r="R3332" i="34"/>
  <c r="P3332" i="34"/>
  <c r="Q2939" i="34"/>
  <c r="Q2881" i="34"/>
  <c r="Q2889" i="34"/>
  <c r="Q2804" i="34"/>
  <c r="Q2770" i="34"/>
  <c r="Q2808" i="34"/>
  <c r="Q2786" i="34"/>
  <c r="R2894" i="34"/>
  <c r="P2894" i="34"/>
  <c r="Q2201" i="34"/>
  <c r="Q1020" i="34"/>
  <c r="R2691" i="34"/>
  <c r="P2711" i="34"/>
  <c r="R2116" i="34"/>
  <c r="P2116" i="34"/>
  <c r="R2142" i="34"/>
  <c r="P2146" i="34"/>
  <c r="Q2167" i="34"/>
  <c r="R2194" i="34"/>
  <c r="Q2053" i="34"/>
  <c r="R1573" i="34"/>
  <c r="P1653" i="34"/>
  <c r="R1657" i="34"/>
  <c r="Q1696" i="34"/>
  <c r="P1380" i="34"/>
  <c r="Q1228" i="34"/>
  <c r="R1346" i="34"/>
  <c r="P1346" i="34"/>
  <c r="R1368" i="34"/>
  <c r="R1941" i="34"/>
  <c r="Q1941" i="34"/>
  <c r="R1069" i="34"/>
  <c r="P1073" i="34"/>
  <c r="Q1152" i="34"/>
  <c r="Q1192" i="34"/>
  <c r="Q1200" i="34"/>
  <c r="R903" i="34"/>
  <c r="P903" i="34"/>
  <c r="R2094" i="34"/>
  <c r="P2090" i="34"/>
  <c r="Q2079" i="34"/>
  <c r="R2042" i="34"/>
  <c r="P2038" i="34"/>
  <c r="Q2013" i="34"/>
  <c r="R2004" i="34"/>
  <c r="P2004" i="34"/>
  <c r="Q1742" i="34"/>
  <c r="Q1600" i="34"/>
  <c r="R1593" i="34"/>
  <c r="P1593" i="34"/>
  <c r="R1559" i="34"/>
  <c r="P1559" i="34"/>
  <c r="R1553" i="34"/>
  <c r="P1545" i="34"/>
  <c r="R1541" i="34"/>
  <c r="R1364" i="34"/>
  <c r="R1137" i="34"/>
  <c r="P1137" i="34"/>
  <c r="Q1100" i="34"/>
  <c r="R1096" i="34"/>
  <c r="R1063" i="34"/>
  <c r="P1063" i="34"/>
  <c r="P993" i="34"/>
  <c r="R989" i="34"/>
  <c r="R943" i="34"/>
  <c r="P943" i="34"/>
  <c r="Q928" i="34"/>
  <c r="Q920" i="34"/>
  <c r="Q1112" i="34"/>
  <c r="R1151" i="34"/>
  <c r="P1143" i="34"/>
  <c r="R1147" i="34"/>
  <c r="P985" i="34"/>
  <c r="P1053" i="34"/>
  <c r="R1057" i="34"/>
  <c r="Q1210" i="34"/>
  <c r="R67" i="34"/>
  <c r="P72" i="34"/>
  <c r="P82" i="34"/>
  <c r="Q604" i="34"/>
  <c r="Q630" i="34"/>
  <c r="Q642" i="34"/>
  <c r="Q652" i="34"/>
  <c r="R652" i="34"/>
  <c r="Q656" i="34"/>
  <c r="R660" i="34"/>
  <c r="Q664" i="34"/>
  <c r="Q678" i="34"/>
  <c r="Q686" i="34"/>
  <c r="P695" i="34"/>
  <c r="Q710" i="34"/>
  <c r="R733" i="34"/>
  <c r="P733" i="34"/>
  <c r="Q752" i="34"/>
  <c r="P3338" i="34"/>
  <c r="R3342" i="34"/>
  <c r="P3346" i="34"/>
  <c r="R3350" i="34"/>
  <c r="P3354" i="34"/>
  <c r="R3358" i="34"/>
  <c r="R2240" i="34"/>
  <c r="P2240" i="34"/>
  <c r="Q2925" i="34"/>
  <c r="P2976" i="34"/>
  <c r="R2980" i="34"/>
  <c r="Q3333" i="34"/>
  <c r="P2940" i="34"/>
  <c r="R2878" i="34"/>
  <c r="R2886" i="34"/>
  <c r="P2886" i="34"/>
  <c r="R2645" i="34"/>
  <c r="P2645" i="34"/>
  <c r="P2771" i="34"/>
  <c r="Q2760" i="34"/>
  <c r="Q2895" i="34"/>
  <c r="R2198" i="34"/>
  <c r="P897" i="34"/>
  <c r="R1017" i="34"/>
  <c r="P1021" i="34"/>
  <c r="P3339" i="34"/>
  <c r="R3343" i="34"/>
  <c r="P3347" i="34"/>
  <c r="R3351" i="34"/>
  <c r="P3355" i="34"/>
  <c r="R2225" i="34"/>
  <c r="P2225" i="34"/>
  <c r="P2977" i="34"/>
  <c r="R2981" i="34"/>
  <c r="Q3326" i="34"/>
  <c r="Q3334" i="34"/>
  <c r="P2941" i="34"/>
  <c r="P2879" i="34"/>
  <c r="R2887" i="34"/>
  <c r="P2887" i="34"/>
  <c r="R2646" i="34"/>
  <c r="P2646" i="34"/>
  <c r="R2806" i="34"/>
  <c r="P2806" i="34"/>
  <c r="Q2757" i="34"/>
  <c r="P2195" i="34"/>
  <c r="R2199" i="34"/>
  <c r="Q1189" i="34"/>
  <c r="R1018" i="34"/>
  <c r="P1022" i="34"/>
  <c r="Q2713" i="34"/>
  <c r="Q2118" i="34"/>
  <c r="Q2148" i="34"/>
  <c r="Q2192" i="34"/>
  <c r="Q1988" i="34"/>
  <c r="R2055" i="34"/>
  <c r="P2059" i="34"/>
  <c r="R2111" i="34"/>
  <c r="Q1651" i="34"/>
  <c r="Q1685" i="34"/>
  <c r="R1698" i="34"/>
  <c r="Q1753" i="34"/>
  <c r="R1950" i="34"/>
  <c r="Q1378" i="34"/>
  <c r="R1288" i="34"/>
  <c r="P1341" i="34"/>
  <c r="R1939" i="34"/>
  <c r="Q1939" i="34"/>
  <c r="Q1071" i="34"/>
  <c r="R1148" i="34"/>
  <c r="R1154" i="34"/>
  <c r="P1154" i="34"/>
  <c r="R1194" i="34"/>
  <c r="P1194" i="34"/>
  <c r="Q2140" i="34"/>
  <c r="Q1067" i="34"/>
  <c r="Q2092" i="34"/>
  <c r="R2077" i="34"/>
  <c r="P2077" i="34"/>
  <c r="Q2040" i="34"/>
  <c r="P2015" i="34"/>
  <c r="R2011" i="34"/>
  <c r="Q2006" i="34"/>
  <c r="R1748" i="34"/>
  <c r="P1748" i="34"/>
  <c r="Q1621" i="34"/>
  <c r="Q1595" i="34"/>
  <c r="Q1561" i="34"/>
  <c r="Q1547" i="34"/>
  <c r="R1377" i="34"/>
  <c r="Q1340" i="34"/>
  <c r="Q1131" i="34"/>
  <c r="R1094" i="34"/>
  <c r="Q995" i="34"/>
  <c r="Q979" i="34"/>
  <c r="Q937" i="34"/>
  <c r="R926" i="34"/>
  <c r="P922" i="34"/>
  <c r="R918" i="34"/>
  <c r="R1080" i="34"/>
  <c r="P1080" i="34"/>
  <c r="R1114" i="34"/>
  <c r="P1114" i="34"/>
  <c r="R1140" i="34"/>
  <c r="Q1141" i="34"/>
  <c r="R352" i="34"/>
  <c r="P352" i="34"/>
  <c r="Q466" i="34"/>
  <c r="R1206" i="34"/>
  <c r="P1206" i="34"/>
  <c r="Q1013" i="34"/>
  <c r="P1208" i="34"/>
  <c r="Q69" i="34"/>
  <c r="Q78" i="34"/>
  <c r="Q169" i="34"/>
  <c r="R606" i="34"/>
  <c r="R636" i="34"/>
  <c r="P636" i="34"/>
  <c r="Q650" i="34"/>
  <c r="P650" i="34"/>
  <c r="R658" i="34"/>
  <c r="P676" i="34"/>
  <c r="R680" i="34"/>
  <c r="P684" i="34"/>
  <c r="R688" i="34"/>
  <c r="P692" i="34"/>
  <c r="P708" i="34"/>
  <c r="R712" i="34"/>
  <c r="P720" i="34"/>
  <c r="R742" i="34"/>
  <c r="P742" i="34"/>
  <c r="Q3340" i="34"/>
  <c r="Q3348" i="34"/>
  <c r="Q3356" i="34"/>
  <c r="R2923" i="34"/>
  <c r="P2923" i="34"/>
  <c r="Q2978" i="34"/>
  <c r="P3327" i="34"/>
  <c r="R3331" i="34"/>
  <c r="P3335" i="34"/>
  <c r="Q2942" i="34"/>
  <c r="Q2880" i="34"/>
  <c r="Q2888" i="34"/>
  <c r="Q2803" i="34"/>
  <c r="Q2807" i="34"/>
  <c r="Q2461" i="34"/>
  <c r="R2893" i="34"/>
  <c r="Q2196" i="34"/>
  <c r="P898" i="34"/>
  <c r="R2690" i="34"/>
  <c r="P2690" i="34"/>
  <c r="Q2641" i="34"/>
  <c r="R2115" i="34"/>
  <c r="R2141" i="34"/>
  <c r="P2141" i="34"/>
  <c r="Q2166" i="34"/>
  <c r="R2193" i="34"/>
  <c r="P2193" i="34"/>
  <c r="Q2056" i="34"/>
  <c r="Q1514" i="34"/>
  <c r="R1656" i="34"/>
  <c r="P1656" i="34"/>
  <c r="R1686" i="34"/>
  <c r="Q1699" i="34"/>
  <c r="Q1951" i="34"/>
  <c r="Q1227" i="34"/>
  <c r="R1367" i="34"/>
  <c r="P1367" i="34"/>
  <c r="R1483" i="34"/>
  <c r="P1483" i="34"/>
  <c r="Q1149" i="34"/>
  <c r="Q1191" i="34"/>
  <c r="Q1199" i="34"/>
  <c r="Q1001" i="34"/>
  <c r="R2137" i="34"/>
  <c r="P2137" i="34"/>
  <c r="R2091" i="34"/>
  <c r="Q2080" i="34"/>
  <c r="P2043" i="34"/>
  <c r="R2039" i="34"/>
  <c r="Q2018" i="34"/>
  <c r="Q2010" i="34"/>
  <c r="R2001" i="34"/>
  <c r="P2001" i="34"/>
  <c r="Q1743" i="34"/>
  <c r="Q1601" i="34"/>
  <c r="R1590" i="34"/>
  <c r="P1590" i="34"/>
  <c r="R1556" i="34"/>
  <c r="P1556" i="34"/>
  <c r="R1546" i="34"/>
  <c r="P1542" i="34"/>
  <c r="P1365" i="34"/>
  <c r="R1134" i="34"/>
  <c r="P1134" i="34"/>
  <c r="Q1097" i="34"/>
  <c r="R1060" i="34"/>
  <c r="P1060" i="34"/>
  <c r="R994" i="34"/>
  <c r="P990" i="34"/>
  <c r="R940" i="34"/>
  <c r="P940" i="34"/>
  <c r="Q925" i="34"/>
  <c r="R904" i="34"/>
  <c r="P904" i="34"/>
  <c r="Q1111" i="34"/>
  <c r="R1150" i="34"/>
  <c r="P1150" i="34"/>
  <c r="R1146" i="34"/>
  <c r="P1146" i="34"/>
  <c r="Q363" i="34"/>
  <c r="P914" i="34"/>
  <c r="P1010" i="34"/>
  <c r="R1014" i="34"/>
  <c r="R1056" i="34"/>
  <c r="P1056" i="34"/>
  <c r="R66" i="34"/>
  <c r="P66" i="34"/>
  <c r="P75" i="34"/>
  <c r="R79" i="34"/>
  <c r="P156" i="34"/>
  <c r="Q629" i="34"/>
  <c r="Q641" i="34"/>
  <c r="P651" i="34"/>
  <c r="Q655" i="34"/>
  <c r="Q663" i="34"/>
  <c r="Q681" i="34"/>
  <c r="Q689" i="34"/>
  <c r="R698" i="34"/>
  <c r="P698" i="34"/>
  <c r="Q717" i="34"/>
  <c r="R732" i="34"/>
  <c r="P736" i="34"/>
  <c r="Q751" i="34"/>
  <c r="R3345" i="34"/>
  <c r="P3345" i="34"/>
  <c r="R3353" i="34"/>
  <c r="P3353" i="34"/>
  <c r="P2456" i="34"/>
  <c r="Q2928" i="34"/>
  <c r="Q3324" i="34"/>
  <c r="P3328" i="34"/>
  <c r="Q3332" i="34"/>
  <c r="R2939" i="34"/>
  <c r="P2939" i="34"/>
  <c r="Q2877" i="34"/>
  <c r="P2877" i="34"/>
  <c r="P2885" i="34"/>
  <c r="R2889" i="34"/>
  <c r="P2644" i="34"/>
  <c r="R2804" i="34"/>
  <c r="R2770" i="34"/>
  <c r="P2770" i="34"/>
  <c r="R2808" i="34"/>
  <c r="R2786" i="34"/>
  <c r="P2786" i="34"/>
  <c r="Q2894" i="34"/>
  <c r="R2201" i="34"/>
  <c r="P2201" i="34"/>
  <c r="R1020" i="34"/>
  <c r="P1020" i="34"/>
  <c r="Q2711" i="34"/>
  <c r="Q2116" i="34"/>
  <c r="Q2146" i="34"/>
  <c r="R2167" i="34"/>
  <c r="P2171" i="34"/>
  <c r="R2053" i="34"/>
  <c r="P2053" i="34"/>
  <c r="P2095" i="34"/>
  <c r="Q1653" i="34"/>
  <c r="R1696" i="34"/>
  <c r="P1696" i="34"/>
  <c r="R1948" i="34"/>
  <c r="P1948" i="34"/>
  <c r="Q1380" i="34"/>
  <c r="R1228" i="34"/>
  <c r="Q1346" i="34"/>
  <c r="Q1073" i="34"/>
  <c r="R1152" i="34"/>
  <c r="P1156" i="34"/>
  <c r="R1192" i="34"/>
  <c r="P1196" i="34"/>
  <c r="R1200" i="34"/>
  <c r="P998" i="34"/>
  <c r="Q903" i="34"/>
  <c r="Q2090" i="34"/>
  <c r="R2079" i="34"/>
  <c r="P2075" i="34"/>
  <c r="Q2038" i="34"/>
  <c r="R2013" i="34"/>
  <c r="P2013" i="34"/>
  <c r="Q2004" i="34"/>
  <c r="P1746" i="34"/>
  <c r="R1742" i="34"/>
  <c r="P1604" i="34"/>
  <c r="R1600" i="34"/>
  <c r="Q1593" i="34"/>
  <c r="Q1559" i="34"/>
  <c r="Q1545" i="34"/>
  <c r="P1260" i="34"/>
  <c r="Q1137" i="34"/>
  <c r="P1100" i="34"/>
  <c r="Q1063" i="34"/>
  <c r="Q993" i="34"/>
  <c r="Q943" i="34"/>
  <c r="R928" i="34"/>
  <c r="P928" i="34"/>
  <c r="R920" i="34"/>
  <c r="P920" i="34"/>
  <c r="P1108" i="34"/>
  <c r="R1112" i="34"/>
  <c r="P1116" i="34"/>
  <c r="Q1143" i="34"/>
  <c r="P354" i="34"/>
  <c r="P906" i="34"/>
  <c r="Q985" i="34"/>
  <c r="Q1053" i="34"/>
  <c r="R1210" i="34"/>
  <c r="P1210" i="34"/>
  <c r="R72" i="34"/>
  <c r="Q72" i="34"/>
  <c r="Q82" i="34"/>
  <c r="R604" i="34"/>
  <c r="P604" i="34"/>
  <c r="R630" i="34"/>
  <c r="P638" i="34"/>
  <c r="R642" i="34"/>
  <c r="P660" i="34"/>
  <c r="R678" i="34"/>
  <c r="P678" i="34"/>
  <c r="R686" i="34"/>
  <c r="P686" i="34"/>
  <c r="Q695" i="34"/>
  <c r="R710" i="34"/>
  <c r="P710" i="34"/>
  <c r="Q733" i="34"/>
  <c r="P744" i="34"/>
  <c r="R752" i="34"/>
  <c r="Q3338" i="34"/>
  <c r="Q3346" i="34"/>
  <c r="Q3354" i="34"/>
  <c r="Q2240" i="34"/>
  <c r="R2925" i="34"/>
  <c r="Q2976" i="34"/>
  <c r="Q3325" i="34"/>
  <c r="P3325" i="34"/>
  <c r="R3333" i="34"/>
  <c r="P3333" i="34"/>
  <c r="Q2940" i="34"/>
  <c r="P2878" i="34"/>
  <c r="P2882" i="34"/>
  <c r="Q2886" i="34"/>
  <c r="Q2645" i="34"/>
  <c r="Q2771" i="34"/>
  <c r="R2760" i="34"/>
  <c r="P2756" i="34"/>
  <c r="R2895" i="34"/>
  <c r="P2895" i="34"/>
  <c r="Q897" i="34"/>
  <c r="Q1021" i="34"/>
  <c r="Q3339" i="34"/>
  <c r="Q3347" i="34"/>
  <c r="Q3355" i="34"/>
  <c r="R2926" i="34"/>
  <c r="P2926" i="34"/>
  <c r="Q2977" i="34"/>
  <c r="P3330" i="34"/>
  <c r="R3334" i="34"/>
  <c r="P2896" i="34"/>
  <c r="Q2941" i="34"/>
  <c r="P2875" i="34"/>
  <c r="R2879" i="34"/>
  <c r="Q2883" i="34"/>
  <c r="R2922" i="34"/>
  <c r="P2922" i="34"/>
  <c r="R2809" i="34"/>
  <c r="P2809" i="34"/>
  <c r="R2761" i="34"/>
  <c r="P2761" i="34"/>
  <c r="P2892" i="34"/>
  <c r="Q2195" i="34"/>
  <c r="Q1022" i="34"/>
  <c r="R2693" i="34"/>
  <c r="P2693" i="34"/>
  <c r="P2114" i="34"/>
  <c r="R2118" i="34"/>
  <c r="R2144" i="34"/>
  <c r="P2144" i="34"/>
  <c r="Q2169" i="34"/>
  <c r="R1955" i="34"/>
  <c r="P1955" i="34"/>
  <c r="Q2059" i="34"/>
  <c r="R1655" i="34"/>
  <c r="P1655" i="34"/>
  <c r="R1685" i="34"/>
  <c r="R1753" i="34"/>
  <c r="Q1341" i="34"/>
  <c r="P1348" i="34"/>
  <c r="R1482" i="34"/>
  <c r="P1482" i="34"/>
  <c r="Q1190" i="34"/>
  <c r="Q1198" i="34"/>
  <c r="Q1000" i="34"/>
  <c r="P2138" i="34"/>
  <c r="R2088" i="34"/>
  <c r="P2088" i="34"/>
  <c r="Q2073" i="34"/>
  <c r="R2036" i="34"/>
  <c r="P2036" i="34"/>
  <c r="Q2015" i="34"/>
  <c r="R2006" i="34"/>
  <c r="P2002" i="34"/>
  <c r="Q1744" i="34"/>
  <c r="R1621" i="34"/>
  <c r="Q1602" i="34"/>
  <c r="R1595" i="34"/>
  <c r="P1591" i="34"/>
  <c r="R1561" i="34"/>
  <c r="P1557" i="34"/>
  <c r="R1543" i="34"/>
  <c r="P1543" i="34"/>
  <c r="P1938" i="34"/>
  <c r="R1340" i="34"/>
  <c r="P1135" i="34"/>
  <c r="R1131" i="34"/>
  <c r="Q1098" i="34"/>
  <c r="P1098" i="34"/>
  <c r="P1061" i="34"/>
  <c r="R991" i="34"/>
  <c r="P991" i="34"/>
  <c r="P941" i="34"/>
  <c r="R937" i="34"/>
  <c r="Q922" i="34"/>
  <c r="Q1110" i="34"/>
  <c r="R1145" i="34"/>
  <c r="P1145" i="34"/>
  <c r="R359" i="34"/>
  <c r="P359" i="34"/>
  <c r="R466" i="34"/>
  <c r="P913" i="34"/>
  <c r="R987" i="34"/>
  <c r="P987" i="34"/>
  <c r="R1013" i="34"/>
  <c r="R1055" i="34"/>
  <c r="P1055" i="34"/>
  <c r="Q1208" i="34"/>
  <c r="R65" i="34"/>
  <c r="P65" i="34"/>
  <c r="P74" i="34"/>
  <c r="R78" i="34"/>
  <c r="R84" i="34"/>
  <c r="P84" i="34"/>
  <c r="Q640" i="34"/>
  <c r="R650" i="34"/>
  <c r="Q654" i="34"/>
  <c r="P654" i="34"/>
  <c r="Q662" i="34"/>
  <c r="P662" i="34"/>
  <c r="Q676" i="34"/>
  <c r="Q684" i="34"/>
  <c r="Q692" i="34"/>
  <c r="R697" i="34"/>
  <c r="P697" i="34"/>
  <c r="Q708" i="34"/>
  <c r="Q720" i="34"/>
  <c r="P735" i="34"/>
  <c r="Q750" i="34"/>
  <c r="R3344" i="34"/>
  <c r="P3344" i="34"/>
  <c r="R3352" i="34"/>
  <c r="P3352" i="34"/>
  <c r="R2224" i="34"/>
  <c r="P2224" i="34"/>
  <c r="Q2927" i="34"/>
  <c r="Q3323" i="34"/>
  <c r="Q3327" i="34"/>
  <c r="Q3335" i="34"/>
  <c r="R2938" i="34"/>
  <c r="P2938" i="34"/>
  <c r="P2876" i="34"/>
  <c r="R2880" i="34"/>
  <c r="P2884" i="34"/>
  <c r="R2888" i="34"/>
  <c r="P2643" i="34"/>
  <c r="R2803" i="34"/>
  <c r="Q2810" i="34"/>
  <c r="R2807" i="34"/>
  <c r="R2785" i="34"/>
  <c r="P2785" i="34"/>
  <c r="R2200" i="34"/>
  <c r="P2200" i="34"/>
  <c r="Q898" i="34"/>
  <c r="R1019" i="34"/>
  <c r="P1019" i="34"/>
  <c r="Q2710" i="34"/>
  <c r="Q2145" i="34"/>
  <c r="R2166" i="34"/>
  <c r="P2170" i="34"/>
  <c r="Q2025" i="34"/>
  <c r="R2060" i="34"/>
  <c r="P2060" i="34"/>
  <c r="Q1652" i="34"/>
  <c r="P1947" i="34"/>
  <c r="R1947" i="34"/>
  <c r="Q1379" i="34"/>
  <c r="R1227" i="34"/>
  <c r="R1342" i="34"/>
  <c r="P1342" i="34"/>
  <c r="Q1072" i="34"/>
  <c r="P1155" i="34"/>
  <c r="R1191" i="34"/>
  <c r="P1195" i="34"/>
  <c r="R1199" i="34"/>
  <c r="P997" i="34"/>
  <c r="R1001" i="34"/>
  <c r="Q1068" i="34"/>
  <c r="R2076" i="34"/>
  <c r="P2076" i="34"/>
  <c r="Q2043" i="34"/>
  <c r="R2018" i="34"/>
  <c r="P2014" i="34"/>
  <c r="R2010" i="34"/>
  <c r="Q2005" i="34"/>
  <c r="R1747" i="34"/>
  <c r="P1747" i="34"/>
  <c r="R1605" i="34"/>
  <c r="P1605" i="34"/>
  <c r="Q1594" i="34"/>
  <c r="Q1560" i="34"/>
  <c r="Q1542" i="34"/>
  <c r="R1261" i="34"/>
  <c r="P1261" i="34"/>
  <c r="Q1365" i="34"/>
  <c r="Q1138" i="34"/>
  <c r="R1101" i="34"/>
  <c r="P1101" i="34"/>
  <c r="Q1064" i="34"/>
  <c r="Q990" i="34"/>
  <c r="Q944" i="34"/>
  <c r="P929" i="34"/>
  <c r="R925" i="34"/>
  <c r="P921" i="34"/>
  <c r="P1081" i="34"/>
  <c r="R1111" i="34"/>
  <c r="P1115" i="34"/>
  <c r="Q1142" i="34"/>
  <c r="P353" i="34"/>
  <c r="Q862" i="34"/>
  <c r="Q914" i="34"/>
  <c r="P1207" i="34"/>
  <c r="Q1010" i="34"/>
  <c r="R1209" i="34"/>
  <c r="P1209" i="34"/>
  <c r="P71" i="34"/>
  <c r="Q75" i="34"/>
  <c r="Q156" i="34"/>
  <c r="Q170" i="34"/>
  <c r="P170" i="34"/>
  <c r="R629" i="34"/>
  <c r="P637" i="34"/>
  <c r="R641" i="34"/>
  <c r="R651" i="34"/>
  <c r="Q651" i="34"/>
  <c r="R655" i="34"/>
  <c r="P659" i="34"/>
  <c r="R663" i="34"/>
  <c r="R677" i="34"/>
  <c r="P677" i="34"/>
  <c r="R685" i="34"/>
  <c r="P685" i="34"/>
  <c r="Q694" i="34"/>
  <c r="R709" i="34"/>
  <c r="P709" i="34"/>
  <c r="Q736" i="34"/>
  <c r="P743" i="34"/>
  <c r="R751" i="34"/>
  <c r="Q3341" i="34"/>
  <c r="Q3349" i="34"/>
  <c r="Q3357" i="34"/>
  <c r="Q2456" i="34"/>
  <c r="P2924" i="34"/>
  <c r="R2928" i="34"/>
  <c r="Q2979" i="34"/>
  <c r="R3324" i="34"/>
  <c r="R3328" i="34"/>
  <c r="Q3328" i="34"/>
  <c r="R3336" i="34"/>
  <c r="P3336" i="34"/>
  <c r="R2873" i="34"/>
  <c r="Q2873" i="34"/>
  <c r="R2881" i="34"/>
  <c r="Q2885" i="34"/>
  <c r="Q2644" i="34"/>
  <c r="R2890" i="34"/>
  <c r="P2890" i="34"/>
  <c r="Q2197" i="34"/>
  <c r="R899" i="34"/>
  <c r="P899" i="34"/>
  <c r="P2691" i="34"/>
  <c r="R2711" i="34"/>
  <c r="R2112" i="34"/>
  <c r="P2112" i="34"/>
  <c r="P2142" i="34"/>
  <c r="R2146" i="34"/>
  <c r="Q2171" i="34"/>
  <c r="P2194" i="34"/>
  <c r="Q2057" i="34"/>
  <c r="Q2095" i="34"/>
  <c r="P1573" i="34"/>
  <c r="R1653" i="34"/>
  <c r="P1657" i="34"/>
  <c r="Q1700" i="34"/>
  <c r="Q1952" i="34"/>
  <c r="R1380" i="34"/>
  <c r="P1368" i="34"/>
  <c r="P1069" i="34"/>
  <c r="R1073" i="34"/>
  <c r="Q1156" i="34"/>
  <c r="Q1196" i="34"/>
  <c r="Q998" i="34"/>
  <c r="R1015" i="34"/>
  <c r="P1015" i="34"/>
  <c r="P2094" i="34"/>
  <c r="R2090" i="34"/>
  <c r="Q2075" i="34"/>
  <c r="P2042" i="34"/>
  <c r="R2038" i="34"/>
  <c r="Q2017" i="34"/>
  <c r="Q2009" i="34"/>
  <c r="R2000" i="34"/>
  <c r="P2000" i="34"/>
  <c r="Q1746" i="34"/>
  <c r="Q1604" i="34"/>
  <c r="R1563" i="34"/>
  <c r="P1563" i="34"/>
  <c r="P1553" i="34"/>
  <c r="R1545" i="34"/>
  <c r="P1541" i="34"/>
  <c r="Q1260" i="34"/>
  <c r="P1364" i="34"/>
  <c r="R1133" i="34"/>
  <c r="P1133" i="34"/>
  <c r="R1100" i="34"/>
  <c r="Q1096" i="34"/>
  <c r="R1059" i="34"/>
  <c r="P1059" i="34"/>
  <c r="R993" i="34"/>
  <c r="P989" i="34"/>
  <c r="R939" i="34"/>
  <c r="P939" i="34"/>
  <c r="Q924" i="34"/>
  <c r="Q1052" i="34"/>
  <c r="Q1108" i="34"/>
  <c r="Q1116" i="34"/>
  <c r="P1151" i="34"/>
  <c r="R1143" i="34"/>
  <c r="P1147" i="34"/>
  <c r="Q354" i="34"/>
  <c r="Q364" i="34"/>
  <c r="Q906" i="34"/>
  <c r="R955" i="34"/>
  <c r="P955" i="34"/>
  <c r="R985" i="34"/>
  <c r="R1011" i="34"/>
  <c r="P1011" i="34"/>
  <c r="R1053" i="34"/>
  <c r="P1057" i="34"/>
  <c r="P67" i="34"/>
  <c r="R76" i="34"/>
  <c r="P76" i="34"/>
  <c r="R82" i="34"/>
  <c r="R157" i="34"/>
  <c r="P157" i="34"/>
  <c r="Q638" i="34"/>
  <c r="P652" i="34"/>
  <c r="R656" i="34"/>
  <c r="Q660" i="34"/>
  <c r="R664" i="34"/>
  <c r="Q682" i="34"/>
  <c r="Q690" i="34"/>
  <c r="R695" i="34"/>
  <c r="Q706" i="34"/>
  <c r="Q718" i="34"/>
  <c r="R737" i="34"/>
  <c r="P737" i="34"/>
  <c r="Q744" i="34"/>
  <c r="R3338" i="34"/>
  <c r="P3342" i="34"/>
  <c r="R3346" i="34"/>
  <c r="P3350" i="34"/>
  <c r="R3354" i="34"/>
  <c r="P3358" i="34"/>
  <c r="R2976" i="34"/>
  <c r="P2980" i="34"/>
  <c r="R3325" i="34"/>
  <c r="Q3329" i="34"/>
  <c r="Q3337" i="34"/>
  <c r="R2940" i="34"/>
  <c r="Q2874" i="34"/>
  <c r="P2874" i="34"/>
  <c r="R2882" i="34"/>
  <c r="Q2882" i="34"/>
  <c r="Q2470" i="34"/>
  <c r="R2805" i="34"/>
  <c r="P2805" i="34"/>
  <c r="R2771" i="34"/>
  <c r="Q2756" i="34"/>
  <c r="Q2891" i="34"/>
  <c r="P2198" i="34"/>
  <c r="R897" i="34"/>
  <c r="P1017" i="34"/>
  <c r="R1021" i="34"/>
  <c r="R3339" i="34"/>
  <c r="P3343" i="34"/>
  <c r="R3347" i="34"/>
  <c r="P3351" i="34"/>
  <c r="R3355" i="34"/>
  <c r="Q3359" i="34"/>
  <c r="P3359" i="34"/>
  <c r="Q2926" i="34"/>
  <c r="R2977" i="34"/>
  <c r="P2981" i="34"/>
  <c r="R3326" i="34"/>
  <c r="Q3330" i="34"/>
  <c r="Q2896" i="34"/>
  <c r="R2941" i="34"/>
  <c r="Q2875" i="34"/>
  <c r="R2883" i="34"/>
  <c r="P2883" i="34"/>
  <c r="Q2922" i="34"/>
  <c r="Q2809" i="34"/>
  <c r="Q2761" i="34"/>
  <c r="Q2892" i="34"/>
  <c r="R2195" i="34"/>
  <c r="P2199" i="34"/>
  <c r="P1018" i="34"/>
  <c r="R1022" i="34"/>
  <c r="Q2693" i="34"/>
  <c r="Q2114" i="34"/>
  <c r="Q2144" i="34"/>
  <c r="R2169" i="34"/>
  <c r="P2169" i="34"/>
  <c r="Q1955" i="34"/>
  <c r="P2055" i="34"/>
  <c r="R2059" i="34"/>
  <c r="P2111" i="34"/>
  <c r="Q1655" i="34"/>
  <c r="P1698" i="34"/>
  <c r="P1950" i="34"/>
  <c r="P1288" i="34"/>
  <c r="R1341" i="34"/>
  <c r="Q1348" i="34"/>
  <c r="Q1482" i="34"/>
  <c r="P1148" i="34"/>
  <c r="R1190" i="34"/>
  <c r="P1190" i="34"/>
  <c r="R1198" i="34"/>
  <c r="P1198" i="34"/>
  <c r="R1000" i="34"/>
  <c r="P1000" i="34"/>
  <c r="Q2138" i="34"/>
  <c r="Q2088" i="34"/>
  <c r="R2073" i="34"/>
  <c r="P2073" i="34"/>
  <c r="Q2036" i="34"/>
  <c r="R2015" i="34"/>
  <c r="P2011" i="34"/>
  <c r="Q2002" i="34"/>
  <c r="R1744" i="34"/>
  <c r="P1744" i="34"/>
  <c r="R1602" i="34"/>
  <c r="P1602" i="34"/>
  <c r="Q1591" i="34"/>
  <c r="Q1557" i="34"/>
  <c r="Q1543" i="34"/>
  <c r="P1377" i="34"/>
  <c r="Q1135" i="34"/>
  <c r="R1098" i="34"/>
  <c r="Q1061" i="34"/>
  <c r="Q991" i="34"/>
  <c r="Q941" i="34"/>
  <c r="P926" i="34"/>
  <c r="R922" i="34"/>
  <c r="P918" i="34"/>
  <c r="R1110" i="34"/>
  <c r="P1110" i="34"/>
  <c r="P1140" i="34"/>
  <c r="Q1145" i="34"/>
  <c r="Q359" i="34"/>
  <c r="Q913" i="34"/>
  <c r="Q987" i="34"/>
  <c r="Q1055" i="34"/>
  <c r="R1208" i="34"/>
  <c r="Q65" i="34"/>
  <c r="Q74" i="34"/>
  <c r="Q84" i="34"/>
  <c r="P606" i="34"/>
  <c r="R640" i="34"/>
  <c r="P640" i="34"/>
  <c r="R654" i="34"/>
  <c r="R662" i="34"/>
  <c r="R676" i="34"/>
  <c r="P680" i="34"/>
  <c r="R684" i="34"/>
  <c r="P688" i="34"/>
  <c r="R692" i="34"/>
  <c r="Q697" i="34"/>
  <c r="R708" i="34"/>
  <c r="P712" i="34"/>
  <c r="R720" i="34"/>
  <c r="Q735" i="34"/>
  <c r="R750" i="34"/>
  <c r="P750" i="34"/>
  <c r="Q3344" i="34"/>
  <c r="Q3352" i="34"/>
  <c r="Q2224" i="34"/>
  <c r="R2927" i="34"/>
  <c r="P2927" i="34"/>
  <c r="R3323" i="34"/>
  <c r="P3323" i="34"/>
  <c r="P3331" i="34"/>
  <c r="R3335" i="34"/>
  <c r="Q2938" i="34"/>
  <c r="R2876" i="34"/>
  <c r="Q2876" i="34"/>
  <c r="Q2884" i="34"/>
  <c r="Q2643" i="34"/>
  <c r="R2810" i="34"/>
  <c r="P2810" i="34"/>
  <c r="Q2785" i="34"/>
  <c r="P2893" i="34"/>
  <c r="Q2200" i="34"/>
  <c r="R898" i="34"/>
  <c r="Q1019" i="34"/>
  <c r="R2710" i="34"/>
  <c r="P2710" i="34"/>
  <c r="P2115" i="34"/>
  <c r="R2145" i="34"/>
  <c r="P2145" i="34"/>
  <c r="Q2170" i="34"/>
  <c r="R2025" i="34"/>
  <c r="P2025" i="34"/>
  <c r="Q2060" i="34"/>
  <c r="R1652" i="34"/>
  <c r="P1652" i="34"/>
  <c r="P1686" i="34"/>
  <c r="R1379" i="34"/>
  <c r="P1379" i="34"/>
  <c r="Q1342" i="34"/>
  <c r="Q1940" i="34"/>
  <c r="P1940" i="34"/>
  <c r="R1072" i="34"/>
  <c r="P1072" i="34"/>
  <c r="Q1155" i="34"/>
  <c r="Q1195" i="34"/>
  <c r="Q997" i="34"/>
  <c r="R1068" i="34"/>
  <c r="P1068" i="34"/>
  <c r="P2091" i="34"/>
  <c r="Q2076" i="34"/>
  <c r="R2043" i="34"/>
  <c r="P2039" i="34"/>
  <c r="Q2014" i="34"/>
  <c r="R2005" i="34"/>
  <c r="P2005" i="34"/>
  <c r="Q1747" i="34"/>
  <c r="Q1605" i="34"/>
  <c r="R1594" i="34"/>
  <c r="P1594" i="34"/>
  <c r="R1560" i="34"/>
  <c r="P1560" i="34"/>
  <c r="P1546" i="34"/>
  <c r="R1542" i="34"/>
  <c r="Q1261" i="34"/>
  <c r="R1365" i="34"/>
  <c r="R1138" i="34"/>
  <c r="P1138" i="34"/>
  <c r="Q1101" i="34"/>
  <c r="R1064" i="34"/>
  <c r="P1064" i="34"/>
  <c r="P994" i="34"/>
  <c r="R990" i="34"/>
  <c r="R944" i="34"/>
  <c r="P944" i="34"/>
  <c r="Q929" i="34"/>
  <c r="Q921" i="34"/>
  <c r="Q1081" i="34"/>
  <c r="Q1115" i="34"/>
  <c r="R1142" i="34"/>
  <c r="P1142" i="34"/>
  <c r="Q353" i="34"/>
  <c r="R862" i="34"/>
  <c r="P862" i="34"/>
  <c r="R914" i="34"/>
  <c r="Q1207" i="34"/>
  <c r="R1010" i="34"/>
  <c r="P1014" i="34"/>
  <c r="Q1209" i="34"/>
  <c r="Q71" i="34"/>
  <c r="R75" i="34"/>
  <c r="P79" i="34"/>
  <c r="R156" i="34"/>
  <c r="R170" i="34"/>
  <c r="Q637" i="34"/>
  <c r="Q659" i="34"/>
  <c r="Q677" i="34"/>
  <c r="Q685" i="34"/>
  <c r="R694" i="34"/>
  <c r="P694" i="34"/>
  <c r="Q709" i="34"/>
  <c r="P732" i="34"/>
  <c r="R736" i="34"/>
  <c r="Q743" i="34"/>
  <c r="R3341" i="34"/>
  <c r="P3341" i="34"/>
  <c r="R3349" i="34"/>
  <c r="P3349" i="34"/>
  <c r="R3357" i="34"/>
  <c r="P3357" i="34"/>
  <c r="R2456" i="34"/>
  <c r="Q2924" i="34"/>
  <c r="R2979" i="34"/>
  <c r="P2979" i="34"/>
  <c r="Q3336" i="34"/>
  <c r="P2873" i="34"/>
  <c r="R2877" i="34"/>
  <c r="P2881" i="34"/>
  <c r="R2885" i="34"/>
  <c r="P2889" i="34"/>
  <c r="R2644" i="34"/>
  <c r="P2804" i="34"/>
  <c r="P2808" i="34"/>
  <c r="Q2890" i="34"/>
  <c r="R2197" i="34"/>
  <c r="P2197" i="34"/>
  <c r="Q899" i="34"/>
  <c r="Q2691" i="34"/>
  <c r="Q2112" i="34"/>
  <c r="Q2142" i="34"/>
  <c r="P2167" i="34"/>
  <c r="R2171" i="34"/>
  <c r="Q2194" i="34"/>
  <c r="R2057" i="34"/>
  <c r="P2057" i="34"/>
  <c r="R2095" i="34"/>
  <c r="Q1573" i="34"/>
  <c r="Q1657" i="34"/>
  <c r="R1700" i="34"/>
  <c r="P1700" i="34"/>
  <c r="Q1948" i="34"/>
  <c r="R1952" i="34"/>
  <c r="P1952" i="34"/>
  <c r="P1228" i="34"/>
  <c r="Q1368" i="34"/>
  <c r="P1941" i="34"/>
  <c r="Q1069" i="34"/>
  <c r="P1152" i="34"/>
  <c r="R1156" i="34"/>
  <c r="P1192" i="34"/>
  <c r="R1196" i="34"/>
  <c r="P1200" i="34"/>
  <c r="R998" i="34"/>
  <c r="Q1015" i="34"/>
  <c r="Q2094" i="34"/>
  <c r="P2079" i="34"/>
  <c r="R2075" i="34"/>
  <c r="Q2042" i="34"/>
  <c r="R2017" i="34"/>
  <c r="P2017" i="34"/>
  <c r="R2009" i="34"/>
  <c r="P2009" i="34"/>
  <c r="Q2000" i="34"/>
  <c r="R1746" i="34"/>
  <c r="P1742" i="34"/>
  <c r="R1604" i="34"/>
  <c r="P1600" i="34"/>
  <c r="Q1563" i="34"/>
  <c r="Q1553" i="34"/>
  <c r="Q1541" i="34"/>
  <c r="R1260" i="34"/>
  <c r="Q1364" i="34"/>
  <c r="Q1133" i="34"/>
  <c r="P1096" i="34"/>
  <c r="Q1059" i="34"/>
  <c r="Q989" i="34"/>
  <c r="Q939" i="34"/>
  <c r="R924" i="34"/>
  <c r="P924" i="34"/>
  <c r="R1052" i="34"/>
  <c r="P1052" i="34"/>
  <c r="R1108" i="34"/>
  <c r="P1112" i="34"/>
  <c r="R1116" i="34"/>
  <c r="Q1151" i="34"/>
  <c r="Q1147" i="34"/>
  <c r="R354" i="34"/>
  <c r="R364" i="34"/>
  <c r="P364" i="34"/>
  <c r="R906" i="34"/>
  <c r="Q955" i="34"/>
  <c r="Q1011" i="34"/>
  <c r="Q1057" i="34"/>
  <c r="Q67" i="34"/>
  <c r="Q76" i="34"/>
  <c r="Q157" i="34"/>
  <c r="P630" i="34"/>
  <c r="R638" i="34"/>
  <c r="P642" i="34"/>
  <c r="P656" i="34"/>
  <c r="P664" i="34"/>
  <c r="R682" i="34"/>
  <c r="P682" i="34"/>
  <c r="R690" i="34"/>
  <c r="P690" i="34"/>
  <c r="R706" i="34"/>
  <c r="P706" i="34"/>
  <c r="R718" i="34"/>
  <c r="P718" i="34"/>
  <c r="Q737" i="34"/>
  <c r="R744" i="34"/>
  <c r="P752" i="34"/>
  <c r="Q3342" i="34"/>
  <c r="Q3350" i="34"/>
  <c r="Q3358" i="34"/>
  <c r="P2925" i="34"/>
  <c r="Q2980" i="34"/>
  <c r="R3329" i="34"/>
  <c r="P3329" i="34"/>
  <c r="R3337" i="34"/>
  <c r="P3337" i="34"/>
  <c r="R2874" i="34"/>
  <c r="Q2878" i="34"/>
  <c r="R2470" i="34"/>
  <c r="P2470" i="34"/>
  <c r="Q2805" i="34"/>
  <c r="P2760" i="34"/>
  <c r="R2756" i="34"/>
  <c r="R2891" i="34"/>
  <c r="P2891" i="34"/>
  <c r="Q2198" i="34"/>
  <c r="Q1017" i="34"/>
  <c r="Q2692" i="34"/>
  <c r="Q2117" i="34"/>
  <c r="Q2143" i="34"/>
  <c r="Q1954" i="34"/>
  <c r="P2054" i="34"/>
  <c r="R2058" i="34"/>
  <c r="P2110" i="34"/>
  <c r="R1649" i="34"/>
  <c r="Q1658" i="34"/>
  <c r="P1697" i="34"/>
  <c r="R1701" i="34"/>
  <c r="R1949" i="34"/>
  <c r="R1953" i="34"/>
  <c r="P1287" i="34"/>
  <c r="Q1347" i="34"/>
  <c r="Q1369" i="34"/>
  <c r="Q1070" i="34"/>
  <c r="R1157" i="34"/>
  <c r="P1157" i="34"/>
  <c r="R1197" i="34"/>
  <c r="P1197" i="34"/>
  <c r="R999" i="34"/>
  <c r="P999" i="34"/>
  <c r="Q2089" i="34"/>
  <c r="R2078" i="34"/>
  <c r="P2074" i="34"/>
  <c r="Q2037" i="34"/>
  <c r="R2012" i="34"/>
  <c r="P2012" i="34"/>
  <c r="Q1999" i="34"/>
  <c r="P1745" i="34"/>
  <c r="Q1622" i="34"/>
  <c r="P1603" i="34"/>
  <c r="Q1596" i="34"/>
  <c r="Q1562" i="34"/>
  <c r="Q1544" i="34"/>
  <c r="P1535" i="34"/>
  <c r="P1259" i="34"/>
  <c r="Q1132" i="34"/>
  <c r="P1099" i="34"/>
  <c r="R1095" i="34"/>
  <c r="Q992" i="34"/>
  <c r="Q938" i="34"/>
  <c r="R927" i="34"/>
  <c r="P927" i="34"/>
  <c r="R919" i="34"/>
  <c r="P919" i="34"/>
  <c r="R1109" i="34"/>
  <c r="P1109" i="34"/>
  <c r="P447" i="34"/>
  <c r="R907" i="34"/>
  <c r="P907" i="34"/>
  <c r="Q1058" i="34"/>
  <c r="P1211" i="34"/>
  <c r="Q68" i="34"/>
  <c r="Q73" i="34"/>
  <c r="P605" i="34"/>
  <c r="R639" i="34"/>
  <c r="P639" i="34"/>
  <c r="R653" i="34"/>
  <c r="Q653" i="34"/>
  <c r="R661" i="34"/>
  <c r="Q661" i="34"/>
  <c r="P679" i="34"/>
  <c r="R683" i="34"/>
  <c r="P687" i="34"/>
  <c r="R691" i="34"/>
  <c r="R707" i="34"/>
  <c r="P711" i="34"/>
  <c r="R719" i="34"/>
  <c r="Q734" i="34"/>
  <c r="R749" i="34"/>
  <c r="P749" i="34"/>
  <c r="R893" i="34"/>
  <c r="R1984" i="34"/>
  <c r="P1984" i="34"/>
  <c r="Q1985" i="34"/>
  <c r="R1982" i="34"/>
  <c r="P1957" i="34"/>
  <c r="R1959" i="34"/>
  <c r="P1959" i="34"/>
  <c r="R2692" i="34"/>
  <c r="P2712" i="34"/>
  <c r="R2117" i="34"/>
  <c r="P2117" i="34"/>
  <c r="R2143" i="34"/>
  <c r="P2147" i="34"/>
  <c r="P2191" i="34"/>
  <c r="R1954" i="34"/>
  <c r="Q2054" i="34"/>
  <c r="Q2110" i="34"/>
  <c r="P1654" i="34"/>
  <c r="R1658" i="34"/>
  <c r="Q1697" i="34"/>
  <c r="P1949" i="34"/>
  <c r="Q1287" i="34"/>
  <c r="R1347" i="34"/>
  <c r="P1347" i="34"/>
  <c r="R1369" i="34"/>
  <c r="P1481" i="34"/>
  <c r="R1070" i="34"/>
  <c r="P1074" i="34"/>
  <c r="Q1157" i="34"/>
  <c r="Q1197" i="34"/>
  <c r="Q999" i="34"/>
  <c r="P2139" i="34"/>
  <c r="R2089" i="34"/>
  <c r="P2089" i="34"/>
  <c r="Q2074" i="34"/>
  <c r="R2037" i="34"/>
  <c r="P2037" i="34"/>
  <c r="Q2012" i="34"/>
  <c r="P2003" i="34"/>
  <c r="R1999" i="34"/>
  <c r="Q1745" i="34"/>
  <c r="R1622" i="34"/>
  <c r="Q1603" i="34"/>
  <c r="R1596" i="34"/>
  <c r="P1592" i="34"/>
  <c r="R1562" i="34"/>
  <c r="P1558" i="34"/>
  <c r="R1544" i="34"/>
  <c r="P1544" i="34"/>
  <c r="Q1259" i="34"/>
  <c r="P1136" i="34"/>
  <c r="R1132" i="34"/>
  <c r="Q1099" i="34"/>
  <c r="P1062" i="34"/>
  <c r="R992" i="34"/>
  <c r="P992" i="34"/>
  <c r="P942" i="34"/>
  <c r="R938" i="34"/>
  <c r="Q927" i="34"/>
  <c r="Q919" i="34"/>
  <c r="Q1109" i="34"/>
  <c r="P1128" i="34"/>
  <c r="P1144" i="34"/>
  <c r="P358" i="34"/>
  <c r="Q447" i="34"/>
  <c r="Q907" i="34"/>
  <c r="P986" i="34"/>
  <c r="P1054" i="34"/>
  <c r="R1058" i="34"/>
  <c r="Q1211" i="34"/>
  <c r="R68" i="34"/>
  <c r="R73" i="34"/>
  <c r="P73" i="34"/>
  <c r="P83" i="34"/>
  <c r="Q605" i="34"/>
  <c r="Q639" i="34"/>
  <c r="P653" i="34"/>
  <c r="P661" i="34"/>
  <c r="Q679" i="34"/>
  <c r="Q687" i="34"/>
  <c r="P696" i="34"/>
  <c r="Q711" i="34"/>
  <c r="R734" i="34"/>
  <c r="P734" i="34"/>
  <c r="Q749" i="34"/>
  <c r="P1983" i="34"/>
  <c r="Q1984" i="34"/>
  <c r="R1985" i="34"/>
  <c r="P1985" i="34"/>
  <c r="Q1957" i="34"/>
  <c r="P1958" i="34"/>
  <c r="Q1959" i="34"/>
  <c r="Q2712" i="34"/>
  <c r="Q2113" i="34"/>
  <c r="Q2147" i="34"/>
  <c r="R2168" i="34"/>
  <c r="P2168" i="34"/>
  <c r="Q2191" i="34"/>
  <c r="R2054" i="34"/>
  <c r="P2058" i="34"/>
  <c r="R2110" i="34"/>
  <c r="P1649" i="34"/>
  <c r="Q1654" i="34"/>
  <c r="R1697" i="34"/>
  <c r="P1701" i="34"/>
  <c r="Q1949" i="34"/>
  <c r="P1953" i="34"/>
  <c r="R1287" i="34"/>
  <c r="Q1230" i="34"/>
  <c r="Q1481" i="34"/>
  <c r="Q1074" i="34"/>
  <c r="R1153" i="34"/>
  <c r="P1153" i="34"/>
  <c r="R1193" i="34"/>
  <c r="P1193" i="34"/>
  <c r="R1201" i="34"/>
  <c r="P1201" i="34"/>
  <c r="Q1016" i="34"/>
  <c r="Q2139" i="34"/>
  <c r="Q2093" i="34"/>
  <c r="P2078" i="34"/>
  <c r="R2074" i="34"/>
  <c r="Q2041" i="34"/>
  <c r="R2016" i="34"/>
  <c r="P2016" i="34"/>
  <c r="R2008" i="34"/>
  <c r="P2008" i="34"/>
  <c r="Q2003" i="34"/>
  <c r="R1745" i="34"/>
  <c r="R1603" i="34"/>
  <c r="Q1592" i="34"/>
  <c r="Q1558" i="34"/>
  <c r="Q1552" i="34"/>
  <c r="Q1535" i="34"/>
  <c r="R1535" i="34"/>
  <c r="R1259" i="34"/>
  <c r="Q1363" i="34"/>
  <c r="Q1136" i="34"/>
  <c r="R1099" i="34"/>
  <c r="P1095" i="34"/>
  <c r="Q1062" i="34"/>
  <c r="Q996" i="34"/>
  <c r="Q988" i="34"/>
  <c r="Q942" i="34"/>
  <c r="R923" i="34"/>
  <c r="P923" i="34"/>
  <c r="R1079" i="34"/>
  <c r="P1079" i="34"/>
  <c r="R1113" i="34"/>
  <c r="P1113" i="34"/>
  <c r="Q1128" i="34"/>
  <c r="R1161" i="34"/>
  <c r="P1161" i="34"/>
  <c r="Q1144" i="34"/>
  <c r="Q1162" i="34"/>
  <c r="Q358" i="34"/>
  <c r="R447" i="34"/>
  <c r="Q956" i="34"/>
  <c r="Q986" i="34"/>
  <c r="Q1012" i="34"/>
  <c r="Q1054" i="34"/>
  <c r="R1211" i="34"/>
  <c r="Q77" i="34"/>
  <c r="Q83" i="34"/>
  <c r="Q158" i="34"/>
  <c r="R605" i="34"/>
  <c r="R635" i="34"/>
  <c r="P635" i="34"/>
  <c r="P649" i="34"/>
  <c r="R657" i="34"/>
  <c r="Q657" i="34"/>
  <c r="R665" i="34"/>
  <c r="Q665" i="34"/>
  <c r="R679" i="34"/>
  <c r="P683" i="34"/>
  <c r="R687" i="34"/>
  <c r="P691" i="34"/>
  <c r="Q696" i="34"/>
  <c r="P707" i="34"/>
  <c r="R711" i="34"/>
  <c r="P719" i="34"/>
  <c r="Q738" i="34"/>
  <c r="P893" i="34"/>
  <c r="Q1983" i="34"/>
  <c r="R1980" i="34"/>
  <c r="P1980" i="34"/>
  <c r="Q1981" i="34"/>
  <c r="P1982" i="34"/>
  <c r="R1957" i="34"/>
  <c r="Q1960" i="34"/>
  <c r="Q1958" i="34"/>
  <c r="Q1956" i="34"/>
  <c r="P2692" i="34"/>
  <c r="R2712" i="34"/>
  <c r="R2113" i="34"/>
  <c r="P2113" i="34"/>
  <c r="P2143" i="34"/>
  <c r="R2147" i="34"/>
  <c r="Q2168" i="34"/>
  <c r="R2191" i="34"/>
  <c r="P1954" i="34"/>
  <c r="Q2058" i="34"/>
  <c r="Q1649" i="34"/>
  <c r="R1654" i="34"/>
  <c r="P1658" i="34"/>
  <c r="Q1701" i="34"/>
  <c r="Q1953" i="34"/>
  <c r="R1230" i="34"/>
  <c r="P1230" i="34"/>
  <c r="P1369" i="34"/>
  <c r="R1481" i="34"/>
  <c r="P1070" i="34"/>
  <c r="R1074" i="34"/>
  <c r="Q1153" i="34"/>
  <c r="Q1193" i="34"/>
  <c r="Q1201" i="34"/>
  <c r="R1016" i="34"/>
  <c r="P1016" i="34"/>
  <c r="R2139" i="34"/>
  <c r="R2093" i="34"/>
  <c r="P2093" i="34"/>
  <c r="Q2078" i="34"/>
  <c r="R2041" i="34"/>
  <c r="P2041" i="34"/>
  <c r="Q2016" i="34"/>
  <c r="Q2008" i="34"/>
  <c r="R2003" i="34"/>
  <c r="P1999" i="34"/>
  <c r="P1622" i="34"/>
  <c r="P1596" i="34"/>
  <c r="R1592" i="34"/>
  <c r="P1562" i="34"/>
  <c r="R1558" i="34"/>
  <c r="R1552" i="34"/>
  <c r="P1552" i="34"/>
  <c r="R1363" i="34"/>
  <c r="P1363" i="34"/>
  <c r="R1136" i="34"/>
  <c r="P1132" i="34"/>
  <c r="Q1095" i="34"/>
  <c r="R1062" i="34"/>
  <c r="R996" i="34"/>
  <c r="P996" i="34"/>
  <c r="R988" i="34"/>
  <c r="P988" i="34"/>
  <c r="R942" i="34"/>
  <c r="P938" i="34"/>
  <c r="Q923" i="34"/>
  <c r="Q1079" i="34"/>
  <c r="Q1113" i="34"/>
  <c r="R1128" i="34"/>
  <c r="Q1161" i="34"/>
  <c r="R1144" i="34"/>
  <c r="R1162" i="34"/>
  <c r="P1162" i="34"/>
  <c r="R358" i="34"/>
  <c r="R956" i="34"/>
  <c r="P956" i="34"/>
  <c r="R986" i="34"/>
  <c r="R1012" i="34"/>
  <c r="P1012" i="34"/>
  <c r="R1054" i="34"/>
  <c r="P1058" i="34"/>
  <c r="P68" i="34"/>
  <c r="R77" i="34"/>
  <c r="P77" i="34"/>
  <c r="R83" i="34"/>
  <c r="R158" i="34"/>
  <c r="P158" i="34"/>
  <c r="Q635" i="34"/>
  <c r="R649" i="34"/>
  <c r="Q649" i="34"/>
  <c r="P657" i="34"/>
  <c r="P665" i="34"/>
  <c r="Q683" i="34"/>
  <c r="Q691" i="34"/>
  <c r="R696" i="34"/>
  <c r="Q707" i="34"/>
  <c r="Q719" i="34"/>
  <c r="R738" i="34"/>
  <c r="P738" i="34"/>
  <c r="Q893" i="34"/>
  <c r="R1983" i="34"/>
  <c r="Q1980" i="34"/>
  <c r="R1981" i="34"/>
  <c r="P1981" i="34"/>
  <c r="Q1982" i="34"/>
  <c r="R1960" i="34"/>
  <c r="P1960" i="34"/>
  <c r="R1958" i="34"/>
  <c r="R1956" i="34"/>
  <c r="P1956" i="34"/>
  <c r="R165" i="34"/>
  <c r="P165" i="34"/>
  <c r="P147" i="34"/>
  <c r="Q890" i="34"/>
  <c r="Q165" i="34"/>
  <c r="Q147" i="34"/>
  <c r="R890" i="34"/>
  <c r="Q481" i="34"/>
  <c r="R147" i="34"/>
  <c r="R481" i="34"/>
  <c r="P481" i="34"/>
  <c r="P890" i="34"/>
  <c r="P110" i="34"/>
  <c r="P771" i="34"/>
  <c r="Q105" i="34"/>
  <c r="Q788" i="34"/>
  <c r="Q110" i="34"/>
  <c r="Q771" i="34"/>
  <c r="R105" i="34"/>
  <c r="P105" i="34"/>
  <c r="R788" i="34"/>
  <c r="R110" i="34"/>
  <c r="Q762" i="34"/>
  <c r="R771" i="34"/>
  <c r="Q93" i="34"/>
  <c r="R762" i="34"/>
  <c r="P762" i="34"/>
  <c r="R93" i="34"/>
  <c r="P93" i="34"/>
  <c r="P788" i="34"/>
  <c r="P450" i="34"/>
  <c r="Q64" i="34"/>
  <c r="R431" i="34"/>
  <c r="P431" i="34"/>
  <c r="Q450" i="34"/>
  <c r="R64" i="34"/>
  <c r="Q431" i="34"/>
  <c r="R450" i="34"/>
  <c r="P64" i="34"/>
  <c r="Q235" i="34"/>
  <c r="P207" i="34"/>
  <c r="Q350" i="34"/>
  <c r="P401" i="34"/>
  <c r="Q319" i="34"/>
  <c r="P243" i="34"/>
  <c r="R235" i="34"/>
  <c r="P332" i="34"/>
  <c r="Q207" i="34"/>
  <c r="R350" i="34"/>
  <c r="Q401" i="34"/>
  <c r="R319" i="34"/>
  <c r="Q243" i="34"/>
  <c r="R669" i="34"/>
  <c r="P669" i="34"/>
  <c r="R332" i="34"/>
  <c r="Q332" i="34"/>
  <c r="R207" i="34"/>
  <c r="R401" i="34"/>
  <c r="R243" i="34"/>
  <c r="Q669" i="34"/>
  <c r="P235" i="34"/>
  <c r="P350" i="34"/>
  <c r="P319" i="34"/>
  <c r="P250" i="34"/>
  <c r="Q250" i="34"/>
  <c r="R250" i="34"/>
  <c r="R284" i="34"/>
  <c r="P284" i="34"/>
  <c r="Q284" i="34"/>
  <c r="R821" i="34"/>
  <c r="P821" i="34"/>
  <c r="R829" i="34"/>
  <c r="P829" i="34"/>
  <c r="P839" i="34"/>
  <c r="Q846" i="34"/>
  <c r="Q854" i="34"/>
  <c r="Q866" i="34"/>
  <c r="R895" i="34"/>
  <c r="P895" i="34"/>
  <c r="R1516" i="34"/>
  <c r="Q2217" i="34"/>
  <c r="R901" i="34"/>
  <c r="P933" i="34"/>
  <c r="P1025" i="34"/>
  <c r="P1532" i="34"/>
  <c r="R1575" i="34"/>
  <c r="P1575" i="34"/>
  <c r="R1625" i="34"/>
  <c r="P1729" i="34"/>
  <c r="Q2007" i="34"/>
  <c r="R595" i="34"/>
  <c r="P595" i="34"/>
  <c r="R94" i="34"/>
  <c r="P98" i="34"/>
  <c r="R102" i="34"/>
  <c r="R116" i="34"/>
  <c r="P116" i="34"/>
  <c r="R126" i="34"/>
  <c r="Q130" i="34"/>
  <c r="P171" i="34"/>
  <c r="R171" i="34"/>
  <c r="P763" i="34"/>
  <c r="R785" i="34"/>
  <c r="P785" i="34"/>
  <c r="Q511" i="34"/>
  <c r="R528" i="34"/>
  <c r="P528" i="34"/>
  <c r="P254" i="34"/>
  <c r="R793" i="34"/>
  <c r="P793" i="34"/>
  <c r="Q812" i="34"/>
  <c r="Q746" i="34"/>
  <c r="Q778" i="34"/>
  <c r="P795" i="34"/>
  <c r="R909" i="34"/>
  <c r="R959" i="34"/>
  <c r="P959" i="34"/>
  <c r="Q446" i="34"/>
  <c r="R135" i="34"/>
  <c r="P139" i="34"/>
  <c r="R143" i="34"/>
  <c r="R180" i="34"/>
  <c r="Q184" i="34"/>
  <c r="P227" i="34"/>
  <c r="Q231" i="34"/>
  <c r="R268" i="34"/>
  <c r="P268" i="34"/>
  <c r="Q301" i="34"/>
  <c r="Q307" i="34"/>
  <c r="R367" i="34"/>
  <c r="P367" i="34"/>
  <c r="Q374" i="34"/>
  <c r="Q400" i="34"/>
  <c r="Q220" i="34"/>
  <c r="R339" i="34"/>
  <c r="Q339" i="34"/>
  <c r="Q610" i="34"/>
  <c r="R643" i="34"/>
  <c r="P643" i="34"/>
  <c r="R645" i="34"/>
  <c r="Q674" i="34"/>
  <c r="R2072" i="34"/>
  <c r="P2072" i="34"/>
  <c r="R2082" i="34"/>
  <c r="R2220" i="34"/>
  <c r="P2220" i="34"/>
  <c r="Q1626" i="34"/>
  <c r="Q822" i="34"/>
  <c r="Q830" i="34"/>
  <c r="R843" i="34"/>
  <c r="P847" i="34"/>
  <c r="R851" i="34"/>
  <c r="P855" i="34"/>
  <c r="R859" i="34"/>
  <c r="P867" i="34"/>
  <c r="R871" i="34"/>
  <c r="Q896" i="34"/>
  <c r="P2218" i="34"/>
  <c r="Q930" i="34"/>
  <c r="Q1088" i="34"/>
  <c r="R1088" i="34"/>
  <c r="Q1168" i="34"/>
  <c r="P1536" i="34"/>
  <c r="R1583" i="34"/>
  <c r="P1583" i="34"/>
  <c r="Q2019" i="34"/>
  <c r="R2028" i="34"/>
  <c r="P2028" i="34"/>
  <c r="R2034" i="34"/>
  <c r="P63" i="34"/>
  <c r="Q95" i="34"/>
  <c r="Q103" i="34"/>
  <c r="R108" i="34"/>
  <c r="P108" i="34"/>
  <c r="Q121" i="34"/>
  <c r="Q127" i="34"/>
  <c r="P131" i="34"/>
  <c r="R159" i="34"/>
  <c r="P172" i="34"/>
  <c r="R759" i="34"/>
  <c r="Q772" i="34"/>
  <c r="Q786" i="34"/>
  <c r="R454" i="34"/>
  <c r="P502" i="34"/>
  <c r="P286" i="34"/>
  <c r="Q558" i="34"/>
  <c r="R88" i="34"/>
  <c r="P88" i="34"/>
  <c r="R809" i="34"/>
  <c r="P809" i="34"/>
  <c r="P727" i="34"/>
  <c r="R731" i="34"/>
  <c r="P779" i="34"/>
  <c r="P880" i="34"/>
  <c r="R975" i="34"/>
  <c r="P975" i="34"/>
  <c r="Q136" i="34"/>
  <c r="Q175" i="34"/>
  <c r="Q181" i="34"/>
  <c r="Q269" i="34"/>
  <c r="P302" i="34"/>
  <c r="R328" i="34"/>
  <c r="Q328" i="34"/>
  <c r="Q368" i="34"/>
  <c r="P393" i="34"/>
  <c r="R397" i="34"/>
  <c r="Q428" i="34"/>
  <c r="Q285" i="34"/>
  <c r="R336" i="34"/>
  <c r="Q348" i="34"/>
  <c r="R666" i="34"/>
  <c r="Q666" i="34"/>
  <c r="R646" i="34"/>
  <c r="P675" i="34"/>
  <c r="Q740" i="34"/>
  <c r="Q2069" i="34"/>
  <c r="Q2083" i="34"/>
  <c r="Q2097" i="34"/>
  <c r="Q2215" i="34"/>
  <c r="P819" i="34"/>
  <c r="R823" i="34"/>
  <c r="P827" i="34"/>
  <c r="R831" i="34"/>
  <c r="P835" i="34"/>
  <c r="Q848" i="34"/>
  <c r="Q856" i="34"/>
  <c r="Q868" i="34"/>
  <c r="P1533" i="34"/>
  <c r="P1998" i="34"/>
  <c r="R931" i="34"/>
  <c r="P931" i="34"/>
  <c r="P965" i="34"/>
  <c r="P1476" i="34"/>
  <c r="R1537" i="34"/>
  <c r="Q1624" i="34"/>
  <c r="R2020" i="34"/>
  <c r="P2020" i="34"/>
  <c r="Q432" i="34"/>
  <c r="Q91" i="34"/>
  <c r="R96" i="34"/>
  <c r="P96" i="34"/>
  <c r="R104" i="34"/>
  <c r="P104" i="34"/>
  <c r="P114" i="34"/>
  <c r="R122" i="34"/>
  <c r="Q128" i="34"/>
  <c r="Q132" i="34"/>
  <c r="R773" i="34"/>
  <c r="P773" i="34"/>
  <c r="Q451" i="34"/>
  <c r="Q503" i="34"/>
  <c r="Q525" i="34"/>
  <c r="R252" i="34"/>
  <c r="P252" i="34"/>
  <c r="Q287" i="34"/>
  <c r="Q85" i="34"/>
  <c r="P791" i="34"/>
  <c r="R741" i="34"/>
  <c r="P741" i="34"/>
  <c r="Q728" i="34"/>
  <c r="P755" i="34"/>
  <c r="R781" i="34"/>
  <c r="P781" i="34"/>
  <c r="Q916" i="34"/>
  <c r="R387" i="34"/>
  <c r="P387" i="34"/>
  <c r="R137" i="34"/>
  <c r="P137" i="34"/>
  <c r="R176" i="34"/>
  <c r="Q176" i="34"/>
  <c r="R182" i="34"/>
  <c r="R225" i="34"/>
  <c r="Q225" i="34"/>
  <c r="P266" i="34"/>
  <c r="R270" i="34"/>
  <c r="P274" i="34"/>
  <c r="Q303" i="34"/>
  <c r="Q309" i="34"/>
  <c r="P329" i="34"/>
  <c r="P345" i="34"/>
  <c r="R369" i="34"/>
  <c r="Q376" i="34"/>
  <c r="Q394" i="34"/>
  <c r="R429" i="34"/>
  <c r="Q249" i="34"/>
  <c r="R306" i="34"/>
  <c r="P337" i="34"/>
  <c r="R349" i="34"/>
  <c r="P613" i="34"/>
  <c r="R647" i="34"/>
  <c r="Q647" i="34"/>
  <c r="R699" i="34"/>
  <c r="P2070" i="34"/>
  <c r="P2214" i="34"/>
  <c r="Q824" i="34"/>
  <c r="Q832" i="34"/>
  <c r="R845" i="34"/>
  <c r="P845" i="34"/>
  <c r="R853" i="34"/>
  <c r="P853" i="34"/>
  <c r="R865" i="34"/>
  <c r="P865" i="34"/>
  <c r="R1996" i="34"/>
  <c r="P1996" i="34"/>
  <c r="Q932" i="34"/>
  <c r="Q1531" i="34"/>
  <c r="Q1538" i="34"/>
  <c r="R1555" i="34"/>
  <c r="P1555" i="34"/>
  <c r="Q1728" i="34"/>
  <c r="R1749" i="34"/>
  <c r="Q2021" i="34"/>
  <c r="R2030" i="34"/>
  <c r="Q449" i="34"/>
  <c r="Q97" i="34"/>
  <c r="P106" i="34"/>
  <c r="Q111" i="34"/>
  <c r="R129" i="34"/>
  <c r="P129" i="34"/>
  <c r="R161" i="34"/>
  <c r="P161" i="34"/>
  <c r="R761" i="34"/>
  <c r="P761" i="34"/>
  <c r="Q774" i="34"/>
  <c r="P494" i="34"/>
  <c r="R510" i="34"/>
  <c r="Q594" i="34"/>
  <c r="Q253" i="34"/>
  <c r="P86" i="34"/>
  <c r="R90" i="34"/>
  <c r="R811" i="34"/>
  <c r="R745" i="34"/>
  <c r="P745" i="34"/>
  <c r="Q860" i="34"/>
  <c r="Q782" i="34"/>
  <c r="R905" i="34"/>
  <c r="P949" i="34"/>
  <c r="R977" i="34"/>
  <c r="Q388" i="34"/>
  <c r="R486" i="34"/>
  <c r="Q138" i="34"/>
  <c r="Q177" i="34"/>
  <c r="Q183" i="34"/>
  <c r="Q226" i="34"/>
  <c r="R230" i="34"/>
  <c r="Q271" i="34"/>
  <c r="R300" i="34"/>
  <c r="P300" i="34"/>
  <c r="P326" i="34"/>
  <c r="P361" i="34"/>
  <c r="Q370" i="34"/>
  <c r="P377" i="34"/>
  <c r="R399" i="34"/>
  <c r="P399" i="34"/>
  <c r="Q430" i="34"/>
  <c r="R322" i="34"/>
  <c r="R338" i="34"/>
  <c r="R609" i="34"/>
  <c r="Q704" i="34"/>
  <c r="Q648" i="34"/>
  <c r="R648" i="34"/>
  <c r="Q700" i="34"/>
  <c r="P2071" i="34"/>
  <c r="P2219" i="34"/>
  <c r="Q821" i="34"/>
  <c r="Q829" i="34"/>
  <c r="Q839" i="34"/>
  <c r="R846" i="34"/>
  <c r="P846" i="34"/>
  <c r="R854" i="34"/>
  <c r="P854" i="34"/>
  <c r="R866" i="34"/>
  <c r="P866" i="34"/>
  <c r="Q895" i="34"/>
  <c r="R2217" i="34"/>
  <c r="P2217" i="34"/>
  <c r="Q933" i="34"/>
  <c r="Q1025" i="34"/>
  <c r="Q1532" i="34"/>
  <c r="Q1575" i="34"/>
  <c r="Q1729" i="34"/>
  <c r="R2007" i="34"/>
  <c r="P2027" i="34"/>
  <c r="Q595" i="34"/>
  <c r="Q98" i="34"/>
  <c r="P107" i="34"/>
  <c r="Q116" i="34"/>
  <c r="R130" i="34"/>
  <c r="P130" i="34"/>
  <c r="Q171" i="34"/>
  <c r="Q763" i="34"/>
  <c r="Q785" i="34"/>
  <c r="P495" i="34"/>
  <c r="R511" i="34"/>
  <c r="Q528" i="34"/>
  <c r="Q254" i="34"/>
  <c r="P87" i="34"/>
  <c r="Q793" i="34"/>
  <c r="R812" i="34"/>
  <c r="R746" i="34"/>
  <c r="P746" i="34"/>
  <c r="R778" i="34"/>
  <c r="P778" i="34"/>
  <c r="Q795" i="34"/>
  <c r="Q959" i="34"/>
  <c r="R446" i="34"/>
  <c r="Q139" i="34"/>
  <c r="P180" i="34"/>
  <c r="R184" i="34"/>
  <c r="R227" i="34"/>
  <c r="Q227" i="34"/>
  <c r="Q268" i="34"/>
  <c r="R301" i="34"/>
  <c r="P301" i="34"/>
  <c r="R307" i="34"/>
  <c r="P327" i="34"/>
  <c r="Q367" i="34"/>
  <c r="R374" i="34"/>
  <c r="P378" i="34"/>
  <c r="R400" i="34"/>
  <c r="P400" i="34"/>
  <c r="R220" i="34"/>
  <c r="P283" i="34"/>
  <c r="P335" i="34"/>
  <c r="R610" i="34"/>
  <c r="Q643" i="34"/>
  <c r="R674" i="34"/>
  <c r="P674" i="34"/>
  <c r="Q2072" i="34"/>
  <c r="Q2220" i="34"/>
  <c r="R1626" i="34"/>
  <c r="R822" i="34"/>
  <c r="P822" i="34"/>
  <c r="R830" i="34"/>
  <c r="P830" i="34"/>
  <c r="P840" i="34"/>
  <c r="Q847" i="34"/>
  <c r="Q855" i="34"/>
  <c r="Q867" i="34"/>
  <c r="R896" i="34"/>
  <c r="P896" i="34"/>
  <c r="Q2218" i="34"/>
  <c r="R930" i="34"/>
  <c r="P934" i="34"/>
  <c r="R1168" i="34"/>
  <c r="R1536" i="34"/>
  <c r="Q1583" i="34"/>
  <c r="P1730" i="34"/>
  <c r="R2019" i="34"/>
  <c r="Q2028" i="34"/>
  <c r="Q63" i="34"/>
  <c r="R95" i="34"/>
  <c r="P99" i="34"/>
  <c r="R103" i="34"/>
  <c r="Q108" i="34"/>
  <c r="R121" i="34"/>
  <c r="P121" i="34"/>
  <c r="Q131" i="34"/>
  <c r="R172" i="34"/>
  <c r="Q172" i="34"/>
  <c r="P764" i="34"/>
  <c r="R772" i="34"/>
  <c r="R786" i="34"/>
  <c r="P786" i="34"/>
  <c r="Q502" i="34"/>
  <c r="P531" i="34"/>
  <c r="Q286" i="34"/>
  <c r="R558" i="34"/>
  <c r="Q88" i="34"/>
  <c r="Q809" i="34"/>
  <c r="Q727" i="34"/>
  <c r="Q779" i="34"/>
  <c r="P796" i="34"/>
  <c r="Q975" i="34"/>
  <c r="P467" i="34"/>
  <c r="R136" i="34"/>
  <c r="P140" i="34"/>
  <c r="P181" i="34"/>
  <c r="Q228" i="34"/>
  <c r="P228" i="34"/>
  <c r="P232" i="34"/>
  <c r="R269" i="34"/>
  <c r="P269" i="34"/>
  <c r="Q302" i="34"/>
  <c r="R368" i="34"/>
  <c r="P368" i="34"/>
  <c r="Q393" i="34"/>
  <c r="R428" i="34"/>
  <c r="P428" i="34"/>
  <c r="R285" i="34"/>
  <c r="P285" i="34"/>
  <c r="R348" i="34"/>
  <c r="P348" i="34"/>
  <c r="Q675" i="34"/>
  <c r="R740" i="34"/>
  <c r="R2069" i="34"/>
  <c r="P2069" i="34"/>
  <c r="R2083" i="34"/>
  <c r="R2097" i="34"/>
  <c r="P2097" i="34"/>
  <c r="R2215" i="34"/>
  <c r="Q819" i="34"/>
  <c r="Q827" i="34"/>
  <c r="Q835" i="34"/>
  <c r="P844" i="34"/>
  <c r="R848" i="34"/>
  <c r="P852" i="34"/>
  <c r="R856" i="34"/>
  <c r="P864" i="34"/>
  <c r="R868" i="34"/>
  <c r="P872" i="34"/>
  <c r="Q1998" i="34"/>
  <c r="Q931" i="34"/>
  <c r="Q965" i="34"/>
  <c r="Q1476" i="34"/>
  <c r="P1554" i="34"/>
  <c r="R1624" i="34"/>
  <c r="P1624" i="34"/>
  <c r="Q2020" i="34"/>
  <c r="R432" i="34"/>
  <c r="P432" i="34"/>
  <c r="R91" i="34"/>
  <c r="Q96" i="34"/>
  <c r="Q104" i="34"/>
  <c r="Q114" i="34"/>
  <c r="P128" i="34"/>
  <c r="R132" i="34"/>
  <c r="P160" i="34"/>
  <c r="P760" i="34"/>
  <c r="Q773" i="34"/>
  <c r="R451" i="34"/>
  <c r="P455" i="34"/>
  <c r="R503" i="34"/>
  <c r="R525" i="34"/>
  <c r="P525" i="34"/>
  <c r="Q252" i="34"/>
  <c r="R287" i="34"/>
  <c r="R85" i="34"/>
  <c r="P85" i="34"/>
  <c r="Q791" i="34"/>
  <c r="Q741" i="34"/>
  <c r="R728" i="34"/>
  <c r="Q755" i="34"/>
  <c r="Q781" i="34"/>
  <c r="R916" i="34"/>
  <c r="P916" i="34"/>
  <c r="Q387" i="34"/>
  <c r="Q137" i="34"/>
  <c r="P229" i="34"/>
  <c r="Q266" i="34"/>
  <c r="Q274" i="34"/>
  <c r="R303" i="34"/>
  <c r="R309" i="34"/>
  <c r="P309" i="34"/>
  <c r="Q345" i="34"/>
  <c r="R376" i="34"/>
  <c r="P376" i="34"/>
  <c r="R394" i="34"/>
  <c r="P398" i="34"/>
  <c r="R249" i="34"/>
  <c r="P249" i="34"/>
  <c r="Q337" i="34"/>
  <c r="Q613" i="34"/>
  <c r="Q2070" i="34"/>
  <c r="Q2214" i="34"/>
  <c r="P820" i="34"/>
  <c r="R824" i="34"/>
  <c r="P828" i="34"/>
  <c r="R832" i="34"/>
  <c r="P836" i="34"/>
  <c r="Q845" i="34"/>
  <c r="Q853" i="34"/>
  <c r="Q865" i="34"/>
  <c r="P894" i="34"/>
  <c r="P1534" i="34"/>
  <c r="Q1996" i="34"/>
  <c r="R932" i="34"/>
  <c r="P932" i="34"/>
  <c r="P966" i="34"/>
  <c r="R1531" i="34"/>
  <c r="P1531" i="34"/>
  <c r="R1538" i="34"/>
  <c r="Q1555" i="34"/>
  <c r="R1728" i="34"/>
  <c r="P1728" i="34"/>
  <c r="R2021" i="34"/>
  <c r="P2021" i="34"/>
  <c r="R449" i="34"/>
  <c r="P449" i="34"/>
  <c r="R97" i="34"/>
  <c r="P97" i="34"/>
  <c r="Q106" i="34"/>
  <c r="R111" i="34"/>
  <c r="P115" i="34"/>
  <c r="Q129" i="34"/>
  <c r="Q161" i="34"/>
  <c r="Q761" i="34"/>
  <c r="R774" i="34"/>
  <c r="P774" i="34"/>
  <c r="Q494" i="34"/>
  <c r="P527" i="34"/>
  <c r="R594" i="34"/>
  <c r="R253" i="34"/>
  <c r="P253" i="34"/>
  <c r="Q86" i="34"/>
  <c r="P792" i="34"/>
  <c r="Q745" i="34"/>
  <c r="P756" i="34"/>
  <c r="R860" i="34"/>
  <c r="R782" i="34"/>
  <c r="P782" i="34"/>
  <c r="Q949" i="34"/>
  <c r="R388" i="34"/>
  <c r="P388" i="34"/>
  <c r="R138" i="34"/>
  <c r="P138" i="34"/>
  <c r="R177" i="34"/>
  <c r="P177" i="34"/>
  <c r="P267" i="34"/>
  <c r="R271" i="34"/>
  <c r="Q300" i="34"/>
  <c r="Q326" i="34"/>
  <c r="P342" i="34"/>
  <c r="Q361" i="34"/>
  <c r="R370" i="34"/>
  <c r="Q377" i="34"/>
  <c r="Q399" i="34"/>
  <c r="R430" i="34"/>
  <c r="P251" i="34"/>
  <c r="P338" i="34"/>
  <c r="P614" i="34"/>
  <c r="R704" i="34"/>
  <c r="R700" i="34"/>
  <c r="Q2071" i="34"/>
  <c r="Q2081" i="34"/>
  <c r="Q2219" i="34"/>
  <c r="Q1564" i="34"/>
  <c r="R825" i="34"/>
  <c r="P825" i="34"/>
  <c r="R833" i="34"/>
  <c r="P833" i="34"/>
  <c r="R839" i="34"/>
  <c r="Q842" i="34"/>
  <c r="Q850" i="34"/>
  <c r="Q858" i="34"/>
  <c r="Q870" i="34"/>
  <c r="P1516" i="34"/>
  <c r="P901" i="34"/>
  <c r="R933" i="34"/>
  <c r="R963" i="34"/>
  <c r="P963" i="34"/>
  <c r="R1025" i="34"/>
  <c r="Q1170" i="34"/>
  <c r="R1532" i="34"/>
  <c r="R1539" i="34"/>
  <c r="P1539" i="34"/>
  <c r="P1625" i="34"/>
  <c r="R1729" i="34"/>
  <c r="Q2027" i="34"/>
  <c r="R2032" i="34"/>
  <c r="P2032" i="34"/>
  <c r="P94" i="34"/>
  <c r="R98" i="34"/>
  <c r="P102" i="34"/>
  <c r="Q107" i="34"/>
  <c r="R112" i="34"/>
  <c r="P112" i="34"/>
  <c r="P126" i="34"/>
  <c r="Q134" i="34"/>
  <c r="Q758" i="34"/>
  <c r="R763" i="34"/>
  <c r="Q770" i="34"/>
  <c r="Q453" i="34"/>
  <c r="Q495" i="34"/>
  <c r="R197" i="34"/>
  <c r="P197" i="34"/>
  <c r="R254" i="34"/>
  <c r="Q549" i="34"/>
  <c r="P549" i="34"/>
  <c r="Q87" i="34"/>
  <c r="R789" i="34"/>
  <c r="P789" i="34"/>
  <c r="Q730" i="34"/>
  <c r="P879" i="34"/>
  <c r="Q879" i="34"/>
  <c r="R795" i="34"/>
  <c r="P909" i="34"/>
  <c r="R371" i="34"/>
  <c r="P371" i="34"/>
  <c r="P135" i="34"/>
  <c r="R139" i="34"/>
  <c r="P143" i="34"/>
  <c r="P231" i="34"/>
  <c r="R231" i="34"/>
  <c r="R272" i="34"/>
  <c r="P272" i="34"/>
  <c r="Q327" i="34"/>
  <c r="R343" i="34"/>
  <c r="P343" i="34"/>
  <c r="Q378" i="34"/>
  <c r="Q396" i="34"/>
  <c r="Q283" i="34"/>
  <c r="R335" i="34"/>
  <c r="Q335" i="34"/>
  <c r="P645" i="34"/>
  <c r="R701" i="34"/>
  <c r="P701" i="34"/>
  <c r="P2082" i="34"/>
  <c r="Q826" i="34"/>
  <c r="Q834" i="34"/>
  <c r="Q840" i="34"/>
  <c r="P843" i="34"/>
  <c r="R847" i="34"/>
  <c r="P851" i="34"/>
  <c r="R855" i="34"/>
  <c r="P859" i="34"/>
  <c r="R867" i="34"/>
  <c r="P871" i="34"/>
  <c r="Q1997" i="34"/>
  <c r="R2218" i="34"/>
  <c r="Q934" i="34"/>
  <c r="Q964" i="34"/>
  <c r="P1088" i="34"/>
  <c r="Q1536" i="34"/>
  <c r="Q1540" i="34"/>
  <c r="R1623" i="34"/>
  <c r="P1623" i="34"/>
  <c r="Q1730" i="34"/>
  <c r="P2034" i="34"/>
  <c r="R63" i="34"/>
  <c r="Q99" i="34"/>
  <c r="Q113" i="34"/>
  <c r="R127" i="34"/>
  <c r="R131" i="34"/>
  <c r="P159" i="34"/>
  <c r="P759" i="34"/>
  <c r="Q764" i="34"/>
  <c r="P454" i="34"/>
  <c r="R502" i="34"/>
  <c r="R524" i="34"/>
  <c r="P524" i="34"/>
  <c r="Q531" i="34"/>
  <c r="Q198" i="34"/>
  <c r="R286" i="34"/>
  <c r="Q790" i="34"/>
  <c r="R813" i="34"/>
  <c r="P813" i="34"/>
  <c r="R727" i="34"/>
  <c r="P731" i="34"/>
  <c r="R779" i="34"/>
  <c r="R880" i="34"/>
  <c r="Q796" i="34"/>
  <c r="R915" i="34"/>
  <c r="P915" i="34"/>
  <c r="Q372" i="34"/>
  <c r="Q467" i="34"/>
  <c r="Q140" i="34"/>
  <c r="P175" i="34"/>
  <c r="R175" i="34"/>
  <c r="R181" i="34"/>
  <c r="R185" i="34"/>
  <c r="P185" i="34"/>
  <c r="R228" i="34"/>
  <c r="R232" i="34"/>
  <c r="Q232" i="34"/>
  <c r="Q273" i="34"/>
  <c r="R302" i="34"/>
  <c r="R308" i="34"/>
  <c r="P308" i="34"/>
  <c r="Q344" i="34"/>
  <c r="R375" i="34"/>
  <c r="P375" i="34"/>
  <c r="R393" i="34"/>
  <c r="P397" i="34"/>
  <c r="R221" i="34"/>
  <c r="P221" i="34"/>
  <c r="Q336" i="34"/>
  <c r="R611" i="34"/>
  <c r="P611" i="34"/>
  <c r="R675" i="34"/>
  <c r="R819" i="34"/>
  <c r="P823" i="34"/>
  <c r="R827" i="34"/>
  <c r="P831" i="34"/>
  <c r="R835" i="34"/>
  <c r="R837" i="34"/>
  <c r="P837" i="34"/>
  <c r="Q844" i="34"/>
  <c r="Q852" i="34"/>
  <c r="Q864" i="34"/>
  <c r="Q872" i="34"/>
  <c r="R1533" i="34"/>
  <c r="R1998" i="34"/>
  <c r="Q2213" i="34"/>
  <c r="R935" i="34"/>
  <c r="P935" i="34"/>
  <c r="R965" i="34"/>
  <c r="R1093" i="34"/>
  <c r="P1093" i="34"/>
  <c r="R1476" i="34"/>
  <c r="P1537" i="34"/>
  <c r="Q1554" i="34"/>
  <c r="Q1584" i="34"/>
  <c r="R1731" i="34"/>
  <c r="P1731" i="34"/>
  <c r="Q2029" i="34"/>
  <c r="R100" i="34"/>
  <c r="P100" i="34"/>
  <c r="Q109" i="34"/>
  <c r="R114" i="34"/>
  <c r="P122" i="34"/>
  <c r="R128" i="34"/>
  <c r="Q160" i="34"/>
  <c r="R753" i="34"/>
  <c r="P753" i="34"/>
  <c r="Q760" i="34"/>
  <c r="R765" i="34"/>
  <c r="P765" i="34"/>
  <c r="Q455" i="34"/>
  <c r="R532" i="34"/>
  <c r="P532" i="34"/>
  <c r="Q89" i="34"/>
  <c r="R791" i="34"/>
  <c r="Q810" i="34"/>
  <c r="R755" i="34"/>
  <c r="Q814" i="34"/>
  <c r="R797" i="34"/>
  <c r="P797" i="34"/>
  <c r="Q976" i="34"/>
  <c r="Q485" i="34"/>
  <c r="R141" i="34"/>
  <c r="P141" i="34"/>
  <c r="P182" i="34"/>
  <c r="R229" i="34"/>
  <c r="Q229" i="34"/>
  <c r="R266" i="34"/>
  <c r="P270" i="34"/>
  <c r="R274" i="34"/>
  <c r="Q329" i="34"/>
  <c r="R329" i="34"/>
  <c r="R345" i="34"/>
  <c r="P369" i="34"/>
  <c r="Q398" i="34"/>
  <c r="P429" i="34"/>
  <c r="P306" i="34"/>
  <c r="R337" i="34"/>
  <c r="P349" i="34"/>
  <c r="R613" i="34"/>
  <c r="R693" i="34"/>
  <c r="P693" i="34"/>
  <c r="P699" i="34"/>
  <c r="R2070" i="34"/>
  <c r="R2084" i="34"/>
  <c r="P2084" i="34"/>
  <c r="R2214" i="34"/>
  <c r="R2216" i="34"/>
  <c r="P2216" i="34"/>
  <c r="Q820" i="34"/>
  <c r="Q828" i="34"/>
  <c r="Q836" i="34"/>
  <c r="Q838" i="34"/>
  <c r="R849" i="34"/>
  <c r="P849" i="34"/>
  <c r="R857" i="34"/>
  <c r="P857" i="34"/>
  <c r="R869" i="34"/>
  <c r="P869" i="34"/>
  <c r="Q894" i="34"/>
  <c r="R1534" i="34"/>
  <c r="Q1534" i="34"/>
  <c r="Q900" i="34"/>
  <c r="Q936" i="34"/>
  <c r="Q966" i="34"/>
  <c r="R1169" i="34"/>
  <c r="P1169" i="34"/>
  <c r="R1589" i="34"/>
  <c r="P1589" i="34"/>
  <c r="P1749" i="34"/>
  <c r="P2030" i="34"/>
  <c r="R92" i="34"/>
  <c r="P92" i="34"/>
  <c r="Q101" i="34"/>
  <c r="R106" i="34"/>
  <c r="Q115" i="34"/>
  <c r="Q125" i="34"/>
  <c r="R133" i="34"/>
  <c r="P133" i="34"/>
  <c r="R757" i="34"/>
  <c r="P757" i="34"/>
  <c r="R769" i="34"/>
  <c r="P769" i="34"/>
  <c r="R452" i="34"/>
  <c r="P452" i="34"/>
  <c r="R494" i="34"/>
  <c r="P510" i="34"/>
  <c r="Q527" i="34"/>
  <c r="R288" i="34"/>
  <c r="P288" i="34"/>
  <c r="R86" i="34"/>
  <c r="P90" i="34"/>
  <c r="Q792" i="34"/>
  <c r="P811" i="34"/>
  <c r="R729" i="34"/>
  <c r="P729" i="34"/>
  <c r="Q756" i="34"/>
  <c r="P905" i="34"/>
  <c r="R949" i="34"/>
  <c r="P977" i="34"/>
  <c r="P486" i="34"/>
  <c r="Q142" i="34"/>
  <c r="R183" i="34"/>
  <c r="P226" i="34"/>
  <c r="Q230" i="34"/>
  <c r="Q267" i="34"/>
  <c r="R304" i="34"/>
  <c r="P304" i="34"/>
  <c r="R326" i="34"/>
  <c r="Q342" i="34"/>
  <c r="R361" i="34"/>
  <c r="R377" i="34"/>
  <c r="R395" i="34"/>
  <c r="P395" i="34"/>
  <c r="Q251" i="34"/>
  <c r="P322" i="34"/>
  <c r="Q338" i="34"/>
  <c r="P609" i="34"/>
  <c r="Q614" i="34"/>
  <c r="P648" i="34"/>
  <c r="R2071" i="34"/>
  <c r="R2081" i="34"/>
  <c r="P2081" i="34"/>
  <c r="R2219" i="34"/>
  <c r="R1564" i="34"/>
  <c r="P1564" i="34"/>
  <c r="Q825" i="34"/>
  <c r="Q833" i="34"/>
  <c r="R842" i="34"/>
  <c r="P842" i="34"/>
  <c r="R850" i="34"/>
  <c r="P850" i="34"/>
  <c r="R858" i="34"/>
  <c r="P858" i="34"/>
  <c r="R870" i="34"/>
  <c r="P870" i="34"/>
  <c r="Q1516" i="34"/>
  <c r="Q901" i="34"/>
  <c r="Q963" i="34"/>
  <c r="R1170" i="34"/>
  <c r="P1170" i="34"/>
  <c r="Q1539" i="34"/>
  <c r="Q1625" i="34"/>
  <c r="P2007" i="34"/>
  <c r="R2027" i="34"/>
  <c r="Q2032" i="34"/>
  <c r="Q94" i="34"/>
  <c r="Q102" i="34"/>
  <c r="R107" i="34"/>
  <c r="Q112" i="34"/>
  <c r="Q126" i="34"/>
  <c r="R134" i="34"/>
  <c r="P134" i="34"/>
  <c r="R758" i="34"/>
  <c r="P758" i="34"/>
  <c r="R770" i="34"/>
  <c r="P770" i="34"/>
  <c r="R453" i="34"/>
  <c r="P453" i="34"/>
  <c r="R495" i="34"/>
  <c r="P511" i="34"/>
  <c r="Q197" i="34"/>
  <c r="R549" i="34"/>
  <c r="R87" i="34"/>
  <c r="Q789" i="34"/>
  <c r="P812" i="34"/>
  <c r="R730" i="34"/>
  <c r="P730" i="34"/>
  <c r="R879" i="34"/>
  <c r="Q909" i="34"/>
  <c r="Q371" i="34"/>
  <c r="P446" i="34"/>
  <c r="Q135" i="34"/>
  <c r="Q143" i="34"/>
  <c r="Q180" i="34"/>
  <c r="P184" i="34"/>
  <c r="Q272" i="34"/>
  <c r="P307" i="34"/>
  <c r="R327" i="34"/>
  <c r="Q343" i="34"/>
  <c r="P374" i="34"/>
  <c r="R378" i="34"/>
  <c r="R396" i="34"/>
  <c r="P396" i="34"/>
  <c r="P220" i="34"/>
  <c r="R283" i="34"/>
  <c r="P339" i="34"/>
  <c r="P610" i="34"/>
  <c r="Q645" i="34"/>
  <c r="Q701" i="34"/>
  <c r="Q2082" i="34"/>
  <c r="P1626" i="34"/>
  <c r="R826" i="34"/>
  <c r="P826" i="34"/>
  <c r="R834" i="34"/>
  <c r="P834" i="34"/>
  <c r="R840" i="34"/>
  <c r="Q843" i="34"/>
  <c r="Q851" i="34"/>
  <c r="Q859" i="34"/>
  <c r="Q871" i="34"/>
  <c r="R1997" i="34"/>
  <c r="P1997" i="34"/>
  <c r="P930" i="34"/>
  <c r="R934" i="34"/>
  <c r="R964" i="34"/>
  <c r="P964" i="34"/>
  <c r="P1168" i="34"/>
  <c r="R1540" i="34"/>
  <c r="P1540" i="34"/>
  <c r="Q1623" i="34"/>
  <c r="R1730" i="34"/>
  <c r="P2019" i="34"/>
  <c r="Q2034" i="34"/>
  <c r="P95" i="34"/>
  <c r="R99" i="34"/>
  <c r="P103" i="34"/>
  <c r="R113" i="34"/>
  <c r="P113" i="34"/>
  <c r="P127" i="34"/>
  <c r="Q159" i="34"/>
  <c r="Q759" i="34"/>
  <c r="R764" i="34"/>
  <c r="P772" i="34"/>
  <c r="Q454" i="34"/>
  <c r="Q524" i="34"/>
  <c r="R531" i="34"/>
  <c r="R198" i="34"/>
  <c r="P198" i="34"/>
  <c r="P558" i="34"/>
  <c r="R790" i="34"/>
  <c r="P790" i="34"/>
  <c r="Q813" i="34"/>
  <c r="Q731" i="34"/>
  <c r="Q880" i="34"/>
  <c r="R796" i="34"/>
  <c r="Q915" i="34"/>
  <c r="R372" i="34"/>
  <c r="P372" i="34"/>
  <c r="R467" i="34"/>
  <c r="P136" i="34"/>
  <c r="R140" i="34"/>
  <c r="Q185" i="34"/>
  <c r="R273" i="34"/>
  <c r="P273" i="34"/>
  <c r="Q308" i="34"/>
  <c r="P328" i="34"/>
  <c r="R344" i="34"/>
  <c r="P344" i="34"/>
  <c r="Q375" i="34"/>
  <c r="Q397" i="34"/>
  <c r="Q221" i="34"/>
  <c r="P336" i="34"/>
  <c r="Q611" i="34"/>
  <c r="P666" i="34"/>
  <c r="Q646" i="34"/>
  <c r="P646" i="34"/>
  <c r="P740" i="34"/>
  <c r="P2083" i="34"/>
  <c r="P2215" i="34"/>
  <c r="Q823" i="34"/>
  <c r="Q831" i="34"/>
  <c r="Q837" i="34"/>
  <c r="R844" i="34"/>
  <c r="P848" i="34"/>
  <c r="R852" i="34"/>
  <c r="P856" i="34"/>
  <c r="R864" i="34"/>
  <c r="P868" i="34"/>
  <c r="R872" i="34"/>
  <c r="Q1533" i="34"/>
  <c r="R2213" i="34"/>
  <c r="P2213" i="34"/>
  <c r="Q935" i="34"/>
  <c r="Q1093" i="34"/>
  <c r="Q1537" i="34"/>
  <c r="R1554" i="34"/>
  <c r="R1584" i="34"/>
  <c r="P1584" i="34"/>
  <c r="Q1731" i="34"/>
  <c r="R2029" i="34"/>
  <c r="P2029" i="34"/>
  <c r="P91" i="34"/>
  <c r="Q100" i="34"/>
  <c r="R109" i="34"/>
  <c r="P109" i="34"/>
  <c r="Q122" i="34"/>
  <c r="P132" i="34"/>
  <c r="R160" i="34"/>
  <c r="Q753" i="34"/>
  <c r="R760" i="34"/>
  <c r="Q765" i="34"/>
  <c r="P451" i="34"/>
  <c r="R455" i="34"/>
  <c r="P503" i="34"/>
  <c r="Q532" i="34"/>
  <c r="P287" i="34"/>
  <c r="R89" i="34"/>
  <c r="P89" i="34"/>
  <c r="R810" i="34"/>
  <c r="P810" i="34"/>
  <c r="P728" i="34"/>
  <c r="R814" i="34"/>
  <c r="P814" i="34"/>
  <c r="Q797" i="34"/>
  <c r="R976" i="34"/>
  <c r="P976" i="34"/>
  <c r="R485" i="34"/>
  <c r="P485" i="34"/>
  <c r="Q141" i="34"/>
  <c r="P176" i="34"/>
  <c r="Q182" i="34"/>
  <c r="P225" i="34"/>
  <c r="Q270" i="34"/>
  <c r="P303" i="34"/>
  <c r="Q369" i="34"/>
  <c r="P394" i="34"/>
  <c r="R398" i="34"/>
  <c r="Q429" i="34"/>
  <c r="Q306" i="34"/>
  <c r="Q349" i="34"/>
  <c r="Q693" i="34"/>
  <c r="P647" i="34"/>
  <c r="Q699" i="34"/>
  <c r="Q2084" i="34"/>
  <c r="Q2216" i="34"/>
  <c r="R820" i="34"/>
  <c r="P824" i="34"/>
  <c r="R828" i="34"/>
  <c r="P832" i="34"/>
  <c r="R836" i="34"/>
  <c r="R838" i="34"/>
  <c r="P838" i="34"/>
  <c r="Q849" i="34"/>
  <c r="Q857" i="34"/>
  <c r="Q869" i="34"/>
  <c r="R894" i="34"/>
  <c r="R900" i="34"/>
  <c r="P900" i="34"/>
  <c r="R936" i="34"/>
  <c r="P936" i="34"/>
  <c r="R966" i="34"/>
  <c r="Q1169" i="34"/>
  <c r="P1538" i="34"/>
  <c r="Q1589" i="34"/>
  <c r="Q1749" i="34"/>
  <c r="Q2030" i="34"/>
  <c r="Q92" i="34"/>
  <c r="R101" i="34"/>
  <c r="P101" i="34"/>
  <c r="P111" i="34"/>
  <c r="R115" i="34"/>
  <c r="R125" i="34"/>
  <c r="P125" i="34"/>
  <c r="Q133" i="34"/>
  <c r="Q757" i="34"/>
  <c r="Q769" i="34"/>
  <c r="Q452" i="34"/>
  <c r="Q510" i="34"/>
  <c r="R527" i="34"/>
  <c r="P594" i="34"/>
  <c r="Q288" i="34"/>
  <c r="Q90" i="34"/>
  <c r="R792" i="34"/>
  <c r="Q811" i="34"/>
  <c r="Q729" i="34"/>
  <c r="R756" i="34"/>
  <c r="P860" i="34"/>
  <c r="Q905" i="34"/>
  <c r="Q977" i="34"/>
  <c r="Q486" i="34"/>
  <c r="R142" i="34"/>
  <c r="P142" i="34"/>
  <c r="P183" i="34"/>
  <c r="R226" i="34"/>
  <c r="P230" i="34"/>
  <c r="R267" i="34"/>
  <c r="P271" i="34"/>
  <c r="Q304" i="34"/>
  <c r="R342" i="34"/>
  <c r="P370" i="34"/>
  <c r="Q395" i="34"/>
  <c r="P430" i="34"/>
  <c r="R251" i="34"/>
  <c r="Q322" i="34"/>
  <c r="Q609" i="34"/>
  <c r="R614" i="34"/>
  <c r="P704" i="34"/>
  <c r="P700" i="34"/>
  <c r="P889" i="34"/>
  <c r="R585" i="34"/>
  <c r="Q305" i="34"/>
  <c r="Q281" i="34"/>
  <c r="Q889" i="34"/>
  <c r="R305" i="34"/>
  <c r="P305" i="34"/>
  <c r="R281" i="34"/>
  <c r="P281" i="34"/>
  <c r="R889" i="34"/>
  <c r="P585" i="34"/>
  <c r="Q146" i="34"/>
  <c r="Q585" i="34"/>
  <c r="R146" i="34"/>
  <c r="P146" i="34"/>
  <c r="R2022" i="34"/>
  <c r="Q2085" i="34"/>
  <c r="Q1750" i="34"/>
  <c r="R2176" i="34"/>
  <c r="P2176" i="34"/>
  <c r="R2098" i="34"/>
  <c r="P902" i="34"/>
  <c r="R2085" i="34"/>
  <c r="P2085" i="34"/>
  <c r="R1750" i="34"/>
  <c r="Q2176" i="34"/>
  <c r="Q902" i="34"/>
  <c r="P2022" i="34"/>
  <c r="P2098" i="34"/>
  <c r="R902" i="34"/>
  <c r="Q2022" i="34"/>
  <c r="P1750" i="34"/>
  <c r="Q2098" i="34"/>
  <c r="P483" i="34"/>
  <c r="Q483" i="34"/>
  <c r="R483" i="34"/>
  <c r="R145" i="34"/>
  <c r="P145" i="34"/>
  <c r="P878" i="34"/>
  <c r="Q145" i="34"/>
  <c r="P144" i="34"/>
  <c r="Q878" i="34"/>
  <c r="R878" i="34"/>
  <c r="Q144" i="34"/>
  <c r="R873" i="34"/>
  <c r="P873" i="34"/>
  <c r="Q873" i="34"/>
  <c r="R144" i="34"/>
  <c r="P164" i="34"/>
  <c r="Q164" i="34"/>
  <c r="P178" i="34"/>
  <c r="R164" i="34"/>
  <c r="R178" i="34"/>
  <c r="Q178" i="34"/>
  <c r="Q179" i="34"/>
  <c r="P179" i="34"/>
  <c r="Q766" i="34"/>
  <c r="R179" i="34"/>
  <c r="R766" i="34"/>
  <c r="P766" i="34"/>
  <c r="P187" i="34"/>
  <c r="Q187" i="34"/>
  <c r="R187" i="34"/>
  <c r="Q194" i="34"/>
  <c r="R194" i="34"/>
  <c r="P194" i="34"/>
  <c r="P475" i="34"/>
  <c r="Q475" i="34"/>
  <c r="R475" i="34"/>
  <c r="V475" i="34"/>
  <c r="AA475" i="34"/>
  <c r="P409" i="34"/>
  <c r="Q409" i="34"/>
  <c r="R409" i="34"/>
  <c r="V409" i="34"/>
  <c r="AA409" i="34"/>
  <c r="Q473" i="34"/>
  <c r="R473" i="34"/>
  <c r="V473" i="34"/>
  <c r="AA473" i="34"/>
  <c r="P473" i="34"/>
  <c r="Q469" i="34"/>
  <c r="R469" i="34"/>
  <c r="V469" i="34"/>
  <c r="AA469" i="34"/>
  <c r="P469" i="34"/>
  <c r="R460" i="34"/>
  <c r="V460" i="34"/>
  <c r="AA460" i="34"/>
  <c r="P460" i="34"/>
  <c r="Q460" i="34"/>
  <c r="R456" i="34"/>
  <c r="V456" i="34"/>
  <c r="AA456" i="34"/>
  <c r="P456" i="34"/>
  <c r="Q456" i="34"/>
  <c r="Q424" i="34"/>
  <c r="R424" i="34"/>
  <c r="V424" i="34"/>
  <c r="AA424" i="34"/>
  <c r="P424" i="34"/>
  <c r="R435" i="34"/>
  <c r="V435" i="34"/>
  <c r="AA435" i="34"/>
  <c r="P435" i="34"/>
  <c r="Q435" i="34"/>
  <c r="P426" i="34"/>
  <c r="Q426" i="34"/>
  <c r="R426" i="34"/>
  <c r="V426" i="34"/>
  <c r="AA426" i="34"/>
  <c r="Q420" i="34"/>
  <c r="R420" i="34"/>
  <c r="V420" i="34"/>
  <c r="AA420" i="34"/>
  <c r="P420" i="34"/>
  <c r="P414" i="34"/>
  <c r="Q414" i="34"/>
  <c r="R414" i="34"/>
  <c r="V414" i="34"/>
  <c r="AA414" i="34"/>
  <c r="Q384" i="34"/>
  <c r="R384" i="34"/>
  <c r="V384" i="34"/>
  <c r="AA384" i="34"/>
  <c r="P384" i="34"/>
  <c r="Q380" i="34"/>
  <c r="R380" i="34"/>
  <c r="V380" i="34"/>
  <c r="AA380" i="34"/>
  <c r="P380" i="34"/>
  <c r="Q289" i="34"/>
  <c r="R289" i="34"/>
  <c r="V289" i="34"/>
  <c r="AA289" i="34"/>
  <c r="P289" i="34"/>
  <c r="P262" i="34"/>
  <c r="Q262" i="34"/>
  <c r="R262" i="34"/>
  <c r="V262" i="34"/>
  <c r="AA262" i="34"/>
  <c r="Q404" i="34"/>
  <c r="R404" i="34"/>
  <c r="V404" i="34"/>
  <c r="AA404" i="34"/>
  <c r="P404" i="34"/>
  <c r="P323" i="34"/>
  <c r="Q323" i="34"/>
  <c r="R323" i="34"/>
  <c r="V323" i="34"/>
  <c r="AA323" i="34"/>
  <c r="P315" i="34"/>
  <c r="Q315" i="34"/>
  <c r="R315" i="34"/>
  <c r="V315" i="34"/>
  <c r="AA315" i="34"/>
  <c r="P294" i="34"/>
  <c r="Q294" i="34"/>
  <c r="R294" i="34"/>
  <c r="V294" i="34"/>
  <c r="AA294" i="34"/>
  <c r="P258" i="34"/>
  <c r="Q258" i="34"/>
  <c r="R258" i="34"/>
  <c r="V258" i="34"/>
  <c r="AA258" i="34"/>
  <c r="P246" i="34"/>
  <c r="Q246" i="34"/>
  <c r="R246" i="34"/>
  <c r="V246" i="34"/>
  <c r="AA246" i="34"/>
  <c r="P239" i="34"/>
  <c r="Q239" i="34"/>
  <c r="R239" i="34"/>
  <c r="V239" i="34"/>
  <c r="AA239" i="34"/>
  <c r="P234" i="34"/>
  <c r="Q234" i="34"/>
  <c r="R234" i="34"/>
  <c r="V234" i="34"/>
  <c r="AA234" i="34"/>
  <c r="Q222" i="34"/>
  <c r="R222" i="34"/>
  <c r="V222" i="34"/>
  <c r="AA222" i="34"/>
  <c r="P222" i="34"/>
  <c r="P211" i="34"/>
  <c r="Q211" i="34"/>
  <c r="R211" i="34"/>
  <c r="V211" i="34"/>
  <c r="AA211" i="34"/>
  <c r="P875" i="34"/>
  <c r="Q875" i="34"/>
  <c r="R875" i="34"/>
  <c r="V875" i="34"/>
  <c r="AA875" i="34"/>
  <c r="R883" i="34"/>
  <c r="V883" i="34"/>
  <c r="AA883" i="34"/>
  <c r="P883" i="34"/>
  <c r="Q883" i="34"/>
  <c r="P803" i="34"/>
  <c r="Q803" i="34"/>
  <c r="R803" i="34"/>
  <c r="V803" i="34"/>
  <c r="AA803" i="34"/>
  <c r="Q726" i="34"/>
  <c r="R726" i="34"/>
  <c r="V726" i="34"/>
  <c r="AA726" i="34"/>
  <c r="P726" i="34"/>
  <c r="R805" i="34"/>
  <c r="V805" i="34"/>
  <c r="AA805" i="34"/>
  <c r="P805" i="34"/>
  <c r="Q805" i="34"/>
  <c r="P299" i="34"/>
  <c r="Q299" i="34"/>
  <c r="R299" i="34"/>
  <c r="V299" i="34"/>
  <c r="AA299" i="34"/>
  <c r="P259" i="34"/>
  <c r="Q259" i="34"/>
  <c r="R259" i="34"/>
  <c r="V259" i="34"/>
  <c r="AA259" i="34"/>
  <c r="Q202" i="34"/>
  <c r="R202" i="34"/>
  <c r="V202" i="34"/>
  <c r="AA202" i="34"/>
  <c r="P202" i="34"/>
  <c r="Q206" i="34"/>
  <c r="R206" i="34"/>
  <c r="V206" i="34"/>
  <c r="AA206" i="34"/>
  <c r="P206" i="34"/>
  <c r="Q412" i="34"/>
  <c r="R412" i="34"/>
  <c r="V412" i="34"/>
  <c r="AA412" i="34"/>
  <c r="P412" i="34"/>
  <c r="Q408" i="34"/>
  <c r="R408" i="34"/>
  <c r="V408" i="34"/>
  <c r="AA408" i="34"/>
  <c r="P408" i="34"/>
  <c r="R472" i="34"/>
  <c r="V472" i="34"/>
  <c r="AA472" i="34"/>
  <c r="P472" i="34"/>
  <c r="Q472" i="34"/>
  <c r="P463" i="34"/>
  <c r="Q463" i="34"/>
  <c r="R463" i="34"/>
  <c r="V463" i="34"/>
  <c r="AA463" i="34"/>
  <c r="P459" i="34"/>
  <c r="Q459" i="34"/>
  <c r="R459" i="34"/>
  <c r="V459" i="34"/>
  <c r="AA459" i="34"/>
  <c r="Q440" i="34"/>
  <c r="P440" i="34"/>
  <c r="AA440" i="34"/>
  <c r="R440" i="34"/>
  <c r="V440" i="34"/>
  <c r="R423" i="34"/>
  <c r="V423" i="34"/>
  <c r="AA423" i="34"/>
  <c r="P423" i="34"/>
  <c r="Q423" i="34"/>
  <c r="P434" i="34"/>
  <c r="Q434" i="34"/>
  <c r="R434" i="34"/>
  <c r="V434" i="34"/>
  <c r="AA434" i="34"/>
  <c r="P425" i="34"/>
  <c r="Q425" i="34"/>
  <c r="R425" i="34"/>
  <c r="V425" i="34"/>
  <c r="AA425" i="34"/>
  <c r="R419" i="34"/>
  <c r="V419" i="34"/>
  <c r="AA419" i="34"/>
  <c r="P419" i="34"/>
  <c r="Q419" i="34"/>
  <c r="Q392" i="34"/>
  <c r="R392" i="34"/>
  <c r="V392" i="34"/>
  <c r="AA392" i="34"/>
  <c r="P392" i="34"/>
  <c r="R383" i="34"/>
  <c r="V383" i="34"/>
  <c r="AA383" i="34"/>
  <c r="P383" i="34"/>
  <c r="Q383" i="34"/>
  <c r="R292" i="34"/>
  <c r="V292" i="34"/>
  <c r="AA292" i="34"/>
  <c r="P292" i="34"/>
  <c r="Q292" i="34"/>
  <c r="Q265" i="34"/>
  <c r="R265" i="34"/>
  <c r="V265" i="34"/>
  <c r="AA265" i="34"/>
  <c r="P265" i="34"/>
  <c r="Q261" i="34"/>
  <c r="R261" i="34"/>
  <c r="V261" i="34"/>
  <c r="AA261" i="34"/>
  <c r="P261" i="34"/>
  <c r="P402" i="34"/>
  <c r="Q402" i="34"/>
  <c r="R402" i="34"/>
  <c r="V402" i="34"/>
  <c r="AA402" i="34"/>
  <c r="P318" i="34"/>
  <c r="Q318" i="34"/>
  <c r="R318" i="34"/>
  <c r="V318" i="34"/>
  <c r="AA318" i="34"/>
  <c r="Q297" i="34"/>
  <c r="R297" i="34"/>
  <c r="V297" i="34"/>
  <c r="AA297" i="34"/>
  <c r="P297" i="34"/>
  <c r="Q293" i="34"/>
  <c r="R293" i="34"/>
  <c r="V293" i="34"/>
  <c r="AA293" i="34"/>
  <c r="P293" i="34"/>
  <c r="Q257" i="34"/>
  <c r="R257" i="34"/>
  <c r="V257" i="34"/>
  <c r="AA257" i="34"/>
  <c r="P257" i="34"/>
  <c r="Q245" i="34"/>
  <c r="R245" i="34"/>
  <c r="V245" i="34"/>
  <c r="AA245" i="34"/>
  <c r="P245" i="34"/>
  <c r="P238" i="34"/>
  <c r="Q238" i="34"/>
  <c r="R238" i="34"/>
  <c r="V238" i="34"/>
  <c r="AA238" i="34"/>
  <c r="Q233" i="34"/>
  <c r="P233" i="34"/>
  <c r="R233" i="34"/>
  <c r="V233" i="34"/>
  <c r="AA233" i="34"/>
  <c r="Q218" i="34"/>
  <c r="R218" i="34"/>
  <c r="V218" i="34"/>
  <c r="AA218" i="34"/>
  <c r="P218" i="34"/>
  <c r="Q210" i="34"/>
  <c r="R210" i="34"/>
  <c r="V210" i="34"/>
  <c r="AA210" i="34"/>
  <c r="P210" i="34"/>
  <c r="Q888" i="34"/>
  <c r="R888" i="34"/>
  <c r="V888" i="34"/>
  <c r="AA888" i="34"/>
  <c r="P888" i="34"/>
  <c r="P882" i="34"/>
  <c r="Q882" i="34"/>
  <c r="R882" i="34"/>
  <c r="V882" i="34"/>
  <c r="AA882" i="34"/>
  <c r="R801" i="34"/>
  <c r="V801" i="34"/>
  <c r="AA801" i="34"/>
  <c r="P801" i="34"/>
  <c r="Q801" i="34"/>
  <c r="R673" i="34"/>
  <c r="V673" i="34"/>
  <c r="AA673" i="34"/>
  <c r="P673" i="34"/>
  <c r="Q673" i="34"/>
  <c r="Q806" i="34"/>
  <c r="R806" i="34"/>
  <c r="V806" i="34"/>
  <c r="AA806" i="34"/>
  <c r="P806" i="34"/>
  <c r="R173" i="34"/>
  <c r="V173" i="34"/>
  <c r="AA173" i="34"/>
  <c r="Q173" i="34"/>
  <c r="P173" i="34"/>
  <c r="R260" i="34"/>
  <c r="V260" i="34"/>
  <c r="AA260" i="34"/>
  <c r="P260" i="34"/>
  <c r="Q260" i="34"/>
  <c r="P203" i="34"/>
  <c r="Q203" i="34"/>
  <c r="R203" i="34"/>
  <c r="V203" i="34"/>
  <c r="AA203" i="34"/>
  <c r="P188" i="34"/>
  <c r="Q188" i="34"/>
  <c r="R188" i="34"/>
  <c r="V188" i="34"/>
  <c r="AA188" i="34"/>
  <c r="R480" i="34"/>
  <c r="V480" i="34"/>
  <c r="AA480" i="34"/>
  <c r="P480" i="34"/>
  <c r="Q480" i="34"/>
  <c r="R411" i="34"/>
  <c r="V411" i="34"/>
  <c r="AA411" i="34"/>
  <c r="P411" i="34"/>
  <c r="Q411" i="34"/>
  <c r="R407" i="34"/>
  <c r="V407" i="34"/>
  <c r="AA407" i="34"/>
  <c r="P407" i="34"/>
  <c r="Q407" i="34"/>
  <c r="P471" i="34"/>
  <c r="Q471" i="34"/>
  <c r="R471" i="34"/>
  <c r="V471" i="34"/>
  <c r="AA471" i="34"/>
  <c r="P462" i="34"/>
  <c r="Q462" i="34"/>
  <c r="R462" i="34"/>
  <c r="V462" i="34"/>
  <c r="AA462" i="34"/>
  <c r="P458" i="34"/>
  <c r="Q458" i="34"/>
  <c r="R458" i="34"/>
  <c r="V458" i="34"/>
  <c r="AA458" i="34"/>
  <c r="R439" i="34"/>
  <c r="V439" i="34"/>
  <c r="AA439" i="34"/>
  <c r="P439" i="34"/>
  <c r="Q439" i="34"/>
  <c r="P437" i="34"/>
  <c r="R437" i="34"/>
  <c r="V437" i="34"/>
  <c r="AA437" i="34"/>
  <c r="Q437" i="34"/>
  <c r="P433" i="34"/>
  <c r="Q433" i="34"/>
  <c r="R433" i="34"/>
  <c r="V433" i="34"/>
  <c r="AA433" i="34"/>
  <c r="P422" i="34"/>
  <c r="Q422" i="34"/>
  <c r="R422" i="34"/>
  <c r="V422" i="34"/>
  <c r="AA422" i="34"/>
  <c r="Q416" i="34"/>
  <c r="R416" i="34"/>
  <c r="V416" i="34"/>
  <c r="AA416" i="34"/>
  <c r="P416" i="34"/>
  <c r="R391" i="34"/>
  <c r="V391" i="34"/>
  <c r="AA391" i="34"/>
  <c r="P391" i="34"/>
  <c r="Q391" i="34"/>
  <c r="P382" i="34"/>
  <c r="Q382" i="34"/>
  <c r="R382" i="34"/>
  <c r="V382" i="34"/>
  <c r="AA382" i="34"/>
  <c r="P291" i="34"/>
  <c r="Q291" i="34"/>
  <c r="R291" i="34"/>
  <c r="V291" i="34"/>
  <c r="AA291" i="34"/>
  <c r="R264" i="34"/>
  <c r="V264" i="34"/>
  <c r="AA264" i="34"/>
  <c r="P264" i="34"/>
  <c r="Q264" i="34"/>
  <c r="P406" i="34"/>
  <c r="Q406" i="34"/>
  <c r="R406" i="34"/>
  <c r="V406" i="34"/>
  <c r="AA406" i="34"/>
  <c r="Q325" i="34"/>
  <c r="R325" i="34"/>
  <c r="V325" i="34"/>
  <c r="AA325" i="34"/>
  <c r="P325" i="34"/>
  <c r="Q317" i="34"/>
  <c r="R317" i="34"/>
  <c r="V317" i="34"/>
  <c r="AA317" i="34"/>
  <c r="P317" i="34"/>
  <c r="R296" i="34"/>
  <c r="V296" i="34"/>
  <c r="AA296" i="34"/>
  <c r="P296" i="34"/>
  <c r="Q296" i="34"/>
  <c r="R276" i="34"/>
  <c r="V276" i="34"/>
  <c r="AA276" i="34"/>
  <c r="P276" i="34"/>
  <c r="Q276" i="34"/>
  <c r="R256" i="34"/>
  <c r="V256" i="34"/>
  <c r="AA256" i="34"/>
  <c r="P256" i="34"/>
  <c r="Q256" i="34"/>
  <c r="R244" i="34"/>
  <c r="V244" i="34"/>
  <c r="AA244" i="34"/>
  <c r="P244" i="34"/>
  <c r="Q244" i="34"/>
  <c r="Q237" i="34"/>
  <c r="P237" i="34"/>
  <c r="R237" i="34"/>
  <c r="V237" i="34"/>
  <c r="AA237" i="34"/>
  <c r="P224" i="34"/>
  <c r="Q224" i="34"/>
  <c r="R224" i="34"/>
  <c r="V224" i="34"/>
  <c r="AA224" i="34"/>
  <c r="R213" i="34"/>
  <c r="V213" i="34"/>
  <c r="AA213" i="34"/>
  <c r="P213" i="34"/>
  <c r="Q213" i="34"/>
  <c r="R189" i="34"/>
  <c r="V189" i="34"/>
  <c r="AA189" i="34"/>
  <c r="P189" i="34"/>
  <c r="Q189" i="34"/>
  <c r="R887" i="34"/>
  <c r="V887" i="34"/>
  <c r="AA887" i="34"/>
  <c r="P887" i="34"/>
  <c r="Q887" i="34"/>
  <c r="R881" i="34"/>
  <c r="V881" i="34"/>
  <c r="P881" i="34"/>
  <c r="AA881" i="34"/>
  <c r="Q881" i="34"/>
  <c r="P800" i="34"/>
  <c r="Q800" i="34"/>
  <c r="R800" i="34"/>
  <c r="V800" i="34"/>
  <c r="AA800" i="34"/>
  <c r="P775" i="34"/>
  <c r="Q775" i="34"/>
  <c r="R775" i="34"/>
  <c r="V775" i="34"/>
  <c r="AA775" i="34"/>
  <c r="R841" i="34"/>
  <c r="V841" i="34"/>
  <c r="AA841" i="34"/>
  <c r="P841" i="34"/>
  <c r="Q841" i="34"/>
  <c r="Q241" i="34"/>
  <c r="R241" i="34"/>
  <c r="V241" i="34"/>
  <c r="AA241" i="34"/>
  <c r="P241" i="34"/>
  <c r="Q874" i="34"/>
  <c r="R874" i="34"/>
  <c r="V874" i="34"/>
  <c r="AA874" i="34"/>
  <c r="P874" i="34"/>
  <c r="P204" i="34"/>
  <c r="Q204" i="34"/>
  <c r="R204" i="34"/>
  <c r="V204" i="34"/>
  <c r="AA204" i="34"/>
  <c r="P208" i="34"/>
  <c r="Q208" i="34"/>
  <c r="R208" i="34"/>
  <c r="V208" i="34"/>
  <c r="AA208" i="34"/>
  <c r="P479" i="34"/>
  <c r="Q479" i="34"/>
  <c r="R479" i="34"/>
  <c r="V479" i="34"/>
  <c r="AA479" i="34"/>
  <c r="P410" i="34"/>
  <c r="Q410" i="34"/>
  <c r="R410" i="34"/>
  <c r="V410" i="34"/>
  <c r="AA410" i="34"/>
  <c r="P474" i="34"/>
  <c r="Q474" i="34"/>
  <c r="R474" i="34"/>
  <c r="V474" i="34"/>
  <c r="AA474" i="34"/>
  <c r="P470" i="34"/>
  <c r="Q470" i="34"/>
  <c r="R470" i="34"/>
  <c r="V470" i="34"/>
  <c r="AA470" i="34"/>
  <c r="Q461" i="34"/>
  <c r="R461" i="34"/>
  <c r="V461" i="34"/>
  <c r="AA461" i="34"/>
  <c r="P461" i="34"/>
  <c r="Q457" i="34"/>
  <c r="R457" i="34"/>
  <c r="V457" i="34"/>
  <c r="AA457" i="34"/>
  <c r="P457" i="34"/>
  <c r="Q438" i="34"/>
  <c r="P438" i="34"/>
  <c r="AA438" i="34"/>
  <c r="R438" i="34"/>
  <c r="V438" i="34"/>
  <c r="Q436" i="34"/>
  <c r="P436" i="34"/>
  <c r="AA436" i="34"/>
  <c r="R436" i="34"/>
  <c r="V436" i="34"/>
  <c r="R427" i="34"/>
  <c r="V427" i="34"/>
  <c r="AA427" i="34"/>
  <c r="P427" i="34"/>
  <c r="Q427" i="34"/>
  <c r="P421" i="34"/>
  <c r="Q421" i="34"/>
  <c r="R421" i="34"/>
  <c r="V421" i="34"/>
  <c r="AA421" i="34"/>
  <c r="R415" i="34"/>
  <c r="V415" i="34"/>
  <c r="AA415" i="34"/>
  <c r="P415" i="34"/>
  <c r="Q415" i="34"/>
  <c r="P390" i="34"/>
  <c r="Q390" i="34"/>
  <c r="R390" i="34"/>
  <c r="V390" i="34"/>
  <c r="AA390" i="34"/>
  <c r="P381" i="34"/>
  <c r="Q381" i="34"/>
  <c r="R381" i="34"/>
  <c r="V381" i="34"/>
  <c r="AA381" i="34"/>
  <c r="P290" i="34"/>
  <c r="Q290" i="34"/>
  <c r="R290" i="34"/>
  <c r="V290" i="34"/>
  <c r="AA290" i="34"/>
  <c r="P263" i="34"/>
  <c r="Q263" i="34"/>
  <c r="R263" i="34"/>
  <c r="V263" i="34"/>
  <c r="AA263" i="34"/>
  <c r="P405" i="34"/>
  <c r="Q405" i="34"/>
  <c r="R405" i="34"/>
  <c r="V405" i="34"/>
  <c r="AA405" i="34"/>
  <c r="R324" i="34"/>
  <c r="V324" i="34"/>
  <c r="AA324" i="34"/>
  <c r="P324" i="34"/>
  <c r="Q324" i="34"/>
  <c r="R316" i="34"/>
  <c r="V316" i="34"/>
  <c r="AA316" i="34"/>
  <c r="P316" i="34"/>
  <c r="Q316" i="34"/>
  <c r="P278" i="34"/>
  <c r="Q278" i="34"/>
  <c r="R278" i="34"/>
  <c r="V278" i="34"/>
  <c r="AA278" i="34"/>
  <c r="P275" i="34"/>
  <c r="Q275" i="34"/>
  <c r="R275" i="34"/>
  <c r="V275" i="34"/>
  <c r="AA275" i="34"/>
  <c r="P247" i="34"/>
  <c r="Q247" i="34"/>
  <c r="R247" i="34"/>
  <c r="V247" i="34"/>
  <c r="AA247" i="34"/>
  <c r="R240" i="34"/>
  <c r="V240" i="34"/>
  <c r="AA240" i="34"/>
  <c r="P240" i="34"/>
  <c r="Q240" i="34"/>
  <c r="R236" i="34"/>
  <c r="V236" i="34"/>
  <c r="AA236" i="34"/>
  <c r="P236" i="34"/>
  <c r="Q236" i="34"/>
  <c r="P223" i="34"/>
  <c r="Q223" i="34"/>
  <c r="R223" i="34"/>
  <c r="V223" i="34"/>
  <c r="AA223" i="34"/>
  <c r="P212" i="34"/>
  <c r="Q212" i="34"/>
  <c r="R212" i="34"/>
  <c r="V212" i="34"/>
  <c r="AA212" i="34"/>
  <c r="P876" i="34"/>
  <c r="Q876" i="34"/>
  <c r="AA876" i="34"/>
  <c r="R876" i="34"/>
  <c r="V876" i="34"/>
  <c r="Q884" i="34"/>
  <c r="R884" i="34"/>
  <c r="V884" i="34"/>
  <c r="AA884" i="34"/>
  <c r="P884" i="34"/>
  <c r="P804" i="34"/>
  <c r="Q804" i="34"/>
  <c r="R804" i="34"/>
  <c r="V804" i="34"/>
  <c r="AA804" i="34"/>
  <c r="P799" i="34"/>
  <c r="Q799" i="34"/>
  <c r="R799" i="34"/>
  <c r="V799" i="34"/>
  <c r="AA799" i="34"/>
  <c r="Q802" i="34"/>
  <c r="R802" i="34"/>
  <c r="V802" i="34"/>
  <c r="AA802" i="34"/>
  <c r="P802" i="34"/>
  <c r="P298" i="34"/>
  <c r="Q298" i="34"/>
  <c r="R298" i="34"/>
  <c r="V298" i="34"/>
  <c r="AA298" i="34"/>
  <c r="P242" i="34"/>
  <c r="Q242" i="34"/>
  <c r="R242" i="34"/>
  <c r="V242" i="34"/>
  <c r="AA242" i="34"/>
  <c r="R201" i="34"/>
  <c r="V201" i="34"/>
  <c r="AA201" i="34"/>
  <c r="P201" i="34"/>
  <c r="Q201" i="34"/>
  <c r="R205" i="34"/>
  <c r="V205" i="34"/>
  <c r="AA205" i="34"/>
  <c r="P205" i="34"/>
  <c r="Q205" i="34"/>
  <c r="R209" i="34"/>
  <c r="V209" i="34"/>
  <c r="AA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492" i="34" l="1"/>
  <c r="B493" i="34"/>
  <c r="B509" i="34"/>
  <c r="B547" i="34"/>
  <c r="B548" i="34"/>
  <c r="B557" i="34"/>
  <c r="B351" i="34"/>
  <c r="B386" i="34"/>
  <c r="B670" i="34"/>
  <c r="B671" i="34"/>
  <c r="B672" i="34"/>
  <c r="P386" i="34" l="1"/>
  <c r="Q386" i="34"/>
  <c r="R386" i="34"/>
  <c r="V386" i="34"/>
  <c r="AA386" i="34"/>
  <c r="P547" i="34"/>
  <c r="Q547" i="34"/>
  <c r="R547" i="34"/>
  <c r="V547" i="34"/>
  <c r="AA547" i="34"/>
  <c r="P672" i="34"/>
  <c r="Q672" i="34"/>
  <c r="R672" i="34"/>
  <c r="V672" i="34"/>
  <c r="AA672" i="34"/>
  <c r="R351" i="34"/>
  <c r="V351" i="34"/>
  <c r="AA351" i="34"/>
  <c r="P351" i="34"/>
  <c r="Q351" i="34"/>
  <c r="Q509" i="34"/>
  <c r="R509" i="34"/>
  <c r="V509" i="34"/>
  <c r="AA509" i="34"/>
  <c r="P509" i="34"/>
  <c r="P671" i="34"/>
  <c r="Q671" i="34"/>
  <c r="R671" i="34"/>
  <c r="V671" i="34"/>
  <c r="AA671" i="34"/>
  <c r="P557" i="34"/>
  <c r="Q557" i="34"/>
  <c r="R557" i="34"/>
  <c r="V557" i="34"/>
  <c r="AA557" i="34"/>
  <c r="Q493" i="34"/>
  <c r="R493" i="34"/>
  <c r="V493" i="34"/>
  <c r="AA493" i="34"/>
  <c r="P493" i="34"/>
  <c r="Q670" i="34"/>
  <c r="R670" i="34"/>
  <c r="V670" i="34"/>
  <c r="AA670" i="34"/>
  <c r="P670" i="34"/>
  <c r="R548" i="34"/>
  <c r="V548" i="34"/>
  <c r="AA548" i="34"/>
  <c r="Q548" i="34"/>
  <c r="P548" i="34"/>
  <c r="R492" i="34"/>
  <c r="V492" i="34"/>
  <c r="AA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P544" i="34"/>
  <c r="Q544" i="34"/>
  <c r="P255" i="34"/>
  <c r="Q255" i="34"/>
  <c r="R255" i="34"/>
  <c r="V255" i="34"/>
  <c r="AA255" i="34"/>
  <c r="P780" i="34"/>
  <c r="Q780" i="34"/>
  <c r="R780" i="34"/>
  <c r="V780" i="34"/>
  <c r="AA780" i="34"/>
  <c r="P748" i="34"/>
  <c r="Q748" i="34"/>
  <c r="R748" i="34"/>
  <c r="V748" i="34"/>
  <c r="AA748" i="34"/>
  <c r="P586" i="34"/>
  <c r="Q586" i="34"/>
  <c r="R586" i="34"/>
  <c r="V586" i="34"/>
  <c r="AA586" i="34"/>
  <c r="Q489" i="34"/>
  <c r="R489" i="34"/>
  <c r="V489" i="34"/>
  <c r="AA489" i="34"/>
  <c r="P489" i="34"/>
  <c r="Q81" i="34"/>
  <c r="R81" i="34"/>
  <c r="V81" i="34"/>
  <c r="AA81" i="34"/>
  <c r="P81" i="34"/>
  <c r="P341" i="34"/>
  <c r="Q341" i="34"/>
  <c r="R341" i="34"/>
  <c r="V341" i="34"/>
  <c r="AA341" i="34"/>
  <c r="P441" i="34"/>
  <c r="R441" i="34"/>
  <c r="V441" i="34"/>
  <c r="AA441" i="34"/>
  <c r="Q441" i="34"/>
  <c r="Q545" i="34"/>
  <c r="R545" i="34"/>
  <c r="V545" i="34"/>
  <c r="AA545" i="34"/>
  <c r="P545" i="34"/>
  <c r="P418" i="34"/>
  <c r="Q418" i="34"/>
  <c r="R418" i="34"/>
  <c r="V418" i="34"/>
  <c r="AA418" i="34"/>
  <c r="Q154" i="34"/>
  <c r="R154" i="34"/>
  <c r="V154" i="34"/>
  <c r="AA154" i="34"/>
  <c r="P154" i="34"/>
  <c r="Q214" i="34"/>
  <c r="R214" i="34"/>
  <c r="V214" i="34"/>
  <c r="AA214" i="34"/>
  <c r="P214" i="34"/>
  <c r="P216" i="34"/>
  <c r="Q216" i="34"/>
  <c r="R216" i="34"/>
  <c r="V216" i="34"/>
  <c r="AA216" i="34"/>
  <c r="Q333" i="34"/>
  <c r="P333" i="34"/>
  <c r="R333" i="34"/>
  <c r="V333" i="34"/>
  <c r="AA333" i="34"/>
  <c r="Q608" i="34"/>
  <c r="R608" i="34"/>
  <c r="V608" i="34"/>
  <c r="AA608" i="34"/>
  <c r="P608" i="34"/>
  <c r="P787" i="34"/>
  <c r="Q787" i="34"/>
  <c r="R787" i="34"/>
  <c r="V787" i="34"/>
  <c r="AA787" i="34"/>
  <c r="R193" i="34"/>
  <c r="V193" i="34"/>
  <c r="AA193" i="34"/>
  <c r="P193" i="34"/>
  <c r="Q193" i="34"/>
  <c r="P542" i="34"/>
  <c r="Q542" i="34"/>
  <c r="R542" i="34"/>
  <c r="V542" i="34"/>
  <c r="AA542" i="34"/>
  <c r="Q644" i="34"/>
  <c r="R644" i="34"/>
  <c r="V644" i="34"/>
  <c r="AA644" i="34"/>
  <c r="P644" i="34"/>
  <c r="P886" i="34"/>
  <c r="Q886" i="34"/>
  <c r="R886" i="34"/>
  <c r="V886" i="34"/>
  <c r="AA886" i="34"/>
  <c r="P945" i="34"/>
  <c r="Q945" i="34"/>
  <c r="R945" i="34"/>
  <c r="V945" i="34"/>
  <c r="AA945" i="34"/>
  <c r="Q117" i="34"/>
  <c r="R117" i="34"/>
  <c r="V117" i="34"/>
  <c r="AA117" i="34"/>
  <c r="P117" i="34"/>
  <c r="R607" i="34"/>
  <c r="V607" i="34"/>
  <c r="AA607" i="34"/>
  <c r="P607" i="34"/>
  <c r="Q607" i="34"/>
  <c r="Q564" i="34"/>
  <c r="R564" i="34"/>
  <c r="V564" i="34"/>
  <c r="AA564" i="34"/>
  <c r="P564" i="34"/>
  <c r="P490" i="34"/>
  <c r="Q490" i="34"/>
  <c r="R490" i="34"/>
  <c r="V490" i="34"/>
  <c r="AA490" i="34"/>
  <c r="R124" i="34"/>
  <c r="V124" i="34"/>
  <c r="AA124" i="34"/>
  <c r="P124" i="34"/>
  <c r="Q124" i="34"/>
  <c r="Q340" i="34"/>
  <c r="P340" i="34"/>
  <c r="R340" i="34"/>
  <c r="V340" i="34"/>
  <c r="AA340" i="34"/>
  <c r="P385" i="34"/>
  <c r="Q385" i="34"/>
  <c r="R385" i="34"/>
  <c r="V385" i="34"/>
  <c r="AA385" i="34"/>
  <c r="P195" i="34"/>
  <c r="Q195" i="34"/>
  <c r="R195" i="34"/>
  <c r="V195" i="34"/>
  <c r="AA195" i="34"/>
  <c r="P417" i="34"/>
  <c r="Q417" i="34"/>
  <c r="R417" i="34"/>
  <c r="V417" i="34"/>
  <c r="AA417" i="34"/>
  <c r="P330" i="34"/>
  <c r="R330" i="34"/>
  <c r="V330" i="34"/>
  <c r="AA330" i="34"/>
  <c r="Q330" i="34"/>
  <c r="P192" i="34"/>
  <c r="Q192" i="34"/>
  <c r="R192" i="34"/>
  <c r="V192" i="34"/>
  <c r="AA192" i="34"/>
  <c r="Q912" i="34"/>
  <c r="R912" i="34"/>
  <c r="V912" i="34"/>
  <c r="AA912" i="34"/>
  <c r="P912" i="34"/>
  <c r="R488" i="34"/>
  <c r="V488" i="34"/>
  <c r="AA488" i="34"/>
  <c r="P488" i="34"/>
  <c r="Q488" i="34"/>
  <c r="P346" i="34"/>
  <c r="Q346" i="34"/>
  <c r="R346" i="34"/>
  <c r="V346" i="34"/>
  <c r="AA346" i="34"/>
  <c r="P543" i="34"/>
  <c r="Q543" i="34"/>
  <c r="R543" i="34"/>
  <c r="V543" i="34"/>
  <c r="AA543" i="34"/>
  <c r="P163" i="34"/>
  <c r="Q163" i="34"/>
  <c r="R163" i="34"/>
  <c r="V163" i="34"/>
  <c r="AA163" i="34"/>
  <c r="R120" i="34"/>
  <c r="V120" i="34"/>
  <c r="AA120" i="34"/>
  <c r="P120" i="34"/>
  <c r="Q120" i="34"/>
  <c r="R248" i="34"/>
  <c r="V248" i="34"/>
  <c r="AA248" i="34"/>
  <c r="P248" i="34"/>
  <c r="Q248" i="34"/>
  <c r="R320" i="34"/>
  <c r="V320" i="34"/>
  <c r="AA320" i="34"/>
  <c r="P320" i="34"/>
  <c r="Q320" i="34"/>
  <c r="R725" i="34"/>
  <c r="V725" i="34"/>
  <c r="AA725" i="34"/>
  <c r="P725" i="34"/>
  <c r="Q725" i="34"/>
  <c r="R443" i="34"/>
  <c r="V443" i="34"/>
  <c r="AA443" i="34"/>
  <c r="P443" i="34"/>
  <c r="Q443" i="34"/>
  <c r="P357" i="34"/>
  <c r="Q357" i="34"/>
  <c r="R357" i="34"/>
  <c r="V357" i="34"/>
  <c r="AA357" i="34"/>
  <c r="P191" i="34"/>
  <c r="Q191" i="34"/>
  <c r="R191" i="34"/>
  <c r="V191" i="34"/>
  <c r="AA191" i="34"/>
  <c r="R476" i="34"/>
  <c r="V476" i="34"/>
  <c r="AA476" i="34"/>
  <c r="P476" i="34"/>
  <c r="Q476" i="34"/>
  <c r="Q754" i="34"/>
  <c r="R754" i="34"/>
  <c r="V754" i="34"/>
  <c r="AA754" i="34"/>
  <c r="P754" i="34"/>
  <c r="P917" i="34"/>
  <c r="Q917" i="34"/>
  <c r="R917" i="34"/>
  <c r="V917" i="34"/>
  <c r="AA917" i="34"/>
  <c r="P196" i="34"/>
  <c r="Q196" i="34"/>
  <c r="R196" i="34"/>
  <c r="V196" i="34"/>
  <c r="AA196" i="34"/>
  <c r="Q70" i="34"/>
  <c r="R70" i="34"/>
  <c r="V70" i="34"/>
  <c r="AA70" i="34"/>
  <c r="P70" i="34"/>
  <c r="P566" i="34"/>
  <c r="Q566" i="34"/>
  <c r="R566" i="34"/>
  <c r="V566" i="34"/>
  <c r="AA566" i="34"/>
  <c r="P546" i="34"/>
  <c r="Q546" i="34"/>
  <c r="R546" i="34"/>
  <c r="V546" i="34"/>
  <c r="AA546" i="34"/>
  <c r="Q465" i="34"/>
  <c r="R465" i="34"/>
  <c r="V465" i="34"/>
  <c r="AA465" i="34"/>
  <c r="P465" i="34"/>
  <c r="R80" i="34"/>
  <c r="V80" i="34"/>
  <c r="AA80" i="34"/>
  <c r="P80" i="34"/>
  <c r="Q80" i="34"/>
  <c r="R403" i="34"/>
  <c r="V403" i="34"/>
  <c r="AA403" i="34"/>
  <c r="P403" i="34"/>
  <c r="Q403" i="34"/>
  <c r="P123" i="34"/>
  <c r="Q123" i="34"/>
  <c r="AA123" i="34"/>
  <c r="R123" i="34"/>
  <c r="V123" i="34"/>
  <c r="R567" i="34"/>
  <c r="V567" i="34"/>
  <c r="AA567" i="34"/>
  <c r="P567" i="34"/>
  <c r="Q567" i="34"/>
  <c r="Q477" i="34"/>
  <c r="R477" i="34"/>
  <c r="V477" i="34"/>
  <c r="AA477" i="34"/>
  <c r="P477" i="34"/>
  <c r="P530" i="34"/>
  <c r="Q530" i="34"/>
  <c r="R530" i="34"/>
  <c r="V530" i="34"/>
  <c r="AA530" i="34"/>
  <c r="R556" i="34"/>
  <c r="P556" i="34"/>
  <c r="Q556" i="34"/>
  <c r="V556" i="34"/>
  <c r="AA556" i="34"/>
  <c r="R347" i="34"/>
  <c r="V347" i="34"/>
  <c r="AA347" i="34"/>
  <c r="P347" i="34"/>
  <c r="Q347" i="34"/>
  <c r="P478" i="34"/>
  <c r="Q478" i="34"/>
  <c r="R478" i="34"/>
  <c r="V478" i="34"/>
  <c r="AA478" i="34"/>
  <c r="Q190" i="34"/>
  <c r="R190" i="34"/>
  <c r="V190" i="34"/>
  <c r="AA190" i="34"/>
  <c r="P190" i="34"/>
  <c r="R484" i="34"/>
  <c r="V484" i="34"/>
  <c r="AA484" i="34"/>
  <c r="P484" i="34"/>
  <c r="Q484" i="34"/>
  <c r="Q162" i="34"/>
  <c r="R162" i="34"/>
  <c r="V162" i="34"/>
  <c r="AA162" i="34"/>
  <c r="P162" i="34"/>
  <c r="P215" i="34"/>
  <c r="Q215" i="34"/>
  <c r="R215" i="34"/>
  <c r="V215" i="34"/>
  <c r="AA215" i="34"/>
  <c r="R217" i="34"/>
  <c r="V217" i="34"/>
  <c r="AA217" i="34"/>
  <c r="P217" i="34"/>
  <c r="Q217" i="34"/>
  <c r="R334" i="34"/>
  <c r="V334" i="34"/>
  <c r="P334" i="34"/>
  <c r="Q334" i="34"/>
  <c r="AA334" i="34"/>
  <c r="R705" i="34"/>
  <c r="V705" i="34"/>
  <c r="AA705" i="34"/>
  <c r="P705" i="34"/>
  <c r="Q705" i="34"/>
  <c r="Q442" i="34"/>
  <c r="P442" i="34"/>
  <c r="AA442" i="34"/>
  <c r="R442" i="34"/>
  <c r="V442" i="34"/>
  <c r="Q356" i="34"/>
  <c r="R356" i="34"/>
  <c r="V356" i="34"/>
  <c r="AA356" i="34"/>
  <c r="P356" i="34"/>
  <c r="P562" i="34"/>
  <c r="Q562" i="34"/>
  <c r="R562" i="34"/>
  <c r="V562" i="34"/>
  <c r="AA562" i="34"/>
  <c r="R563" i="34"/>
  <c r="V563" i="34"/>
  <c r="AA563" i="34"/>
  <c r="P563" i="34"/>
  <c r="Q563" i="34"/>
  <c r="Q794" i="34"/>
  <c r="R794" i="34"/>
  <c r="V794" i="34"/>
  <c r="AA794" i="34"/>
  <c r="P794" i="34"/>
  <c r="P950" i="34"/>
  <c r="Q950" i="34"/>
  <c r="R950" i="34"/>
  <c r="V950" i="34"/>
  <c r="AA950" i="34"/>
  <c r="Q501" i="34"/>
  <c r="R501" i="34"/>
  <c r="V501" i="34"/>
  <c r="AA501" i="34"/>
  <c r="P501" i="34"/>
  <c r="Q612" i="34"/>
  <c r="R612" i="34"/>
  <c r="V612" i="34"/>
  <c r="AA612" i="34"/>
  <c r="P612" i="34"/>
  <c r="P565" i="34"/>
  <c r="Q565" i="34"/>
  <c r="R565" i="34"/>
  <c r="V565" i="34"/>
  <c r="AA565" i="34"/>
  <c r="P491" i="34"/>
  <c r="Q491" i="34"/>
  <c r="R491" i="34"/>
  <c r="V491" i="34"/>
  <c r="AA491" i="34"/>
  <c r="P155" i="34"/>
  <c r="Q155" i="34"/>
  <c r="R155" i="34"/>
  <c r="V155" i="34"/>
  <c r="AA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P444" i="34"/>
  <c r="AA444" i="34"/>
  <c r="R444" i="34"/>
  <c r="V444" i="34"/>
  <c r="P445" i="34"/>
  <c r="R445" i="34"/>
  <c r="V445" i="34"/>
  <c r="Q445" i="34"/>
  <c r="AA445" i="34"/>
  <c r="Q321" i="34"/>
  <c r="R321" i="34"/>
  <c r="V321" i="34"/>
  <c r="AA321" i="34"/>
  <c r="P321" i="34"/>
  <c r="Q667" i="34"/>
  <c r="P667" i="34"/>
  <c r="R667" i="34"/>
  <c r="V667" i="34"/>
  <c r="AA667" i="34"/>
  <c r="P199" i="34"/>
  <c r="Q199" i="34"/>
  <c r="R199" i="34"/>
  <c r="V199" i="34"/>
  <c r="AA199" i="34"/>
  <c r="P311" i="34"/>
  <c r="Q311" i="34"/>
  <c r="R311" i="34"/>
  <c r="V311" i="34"/>
  <c r="AA311" i="34"/>
  <c r="R911" i="34"/>
  <c r="V911" i="34"/>
  <c r="AA911" i="34"/>
  <c r="P911" i="34"/>
  <c r="Q911" i="34"/>
  <c r="R951" i="34"/>
  <c r="V951" i="34"/>
  <c r="AA951" i="34"/>
  <c r="P951" i="34"/>
  <c r="Q951" i="34"/>
  <c r="Q313" i="34"/>
  <c r="R313" i="34"/>
  <c r="V313" i="34"/>
  <c r="AA313" i="34"/>
  <c r="P313" i="34"/>
  <c r="P910" i="34"/>
  <c r="Q910" i="34"/>
  <c r="R910" i="34"/>
  <c r="V910" i="34"/>
  <c r="AA910" i="34"/>
  <c r="P200" i="34"/>
  <c r="Q200" i="34"/>
  <c r="R200" i="34"/>
  <c r="V200" i="34"/>
  <c r="AA200" i="34"/>
  <c r="R312" i="34"/>
  <c r="V312" i="34"/>
  <c r="AA312" i="34"/>
  <c r="P312" i="34"/>
  <c r="Q312" i="34"/>
  <c r="P279" i="34"/>
  <c r="Q279" i="34"/>
  <c r="R279" i="34"/>
  <c r="V279" i="34"/>
  <c r="AA279" i="34"/>
  <c r="P314" i="34"/>
  <c r="Q314" i="34"/>
  <c r="R314" i="34"/>
  <c r="V314" i="34"/>
  <c r="AA314" i="34"/>
  <c r="Q331" i="34"/>
  <c r="R331" i="34"/>
  <c r="V331" i="34"/>
  <c r="AA331" i="34"/>
  <c r="P331" i="34"/>
  <c r="R280" i="34"/>
  <c r="V280" i="34"/>
  <c r="AA280" i="34"/>
  <c r="P280" i="34"/>
  <c r="Q280" i="34"/>
  <c r="R379" i="34"/>
  <c r="V379" i="34"/>
  <c r="AA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Q668" i="34"/>
  <c r="R668" i="34"/>
  <c r="V668" i="34"/>
  <c r="AA668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P362" i="34" l="1"/>
  <c r="Q362" i="34"/>
  <c r="R362" i="34"/>
  <c r="V362" i="34"/>
  <c r="AA362" i="34"/>
  <c r="P219" i="34"/>
  <c r="Q219" i="34"/>
  <c r="R219" i="34"/>
  <c r="V219" i="34"/>
  <c r="AA219" i="34"/>
  <c r="Q798" i="34"/>
  <c r="R798" i="34"/>
  <c r="V798" i="34"/>
  <c r="AA798" i="34"/>
  <c r="P798" i="34"/>
  <c r="P310" i="34"/>
  <c r="Q310" i="34"/>
  <c r="R310" i="34"/>
  <c r="V310" i="34"/>
  <c r="AA310" i="34"/>
  <c r="Q186" i="34"/>
  <c r="R186" i="34"/>
  <c r="V186" i="34"/>
  <c r="AA186" i="34"/>
  <c r="P186" i="34"/>
  <c r="R464" i="34"/>
  <c r="V464" i="34"/>
  <c r="AA464" i="34"/>
  <c r="P464" i="34"/>
  <c r="Q464" i="34"/>
  <c r="P118" i="34"/>
  <c r="Q118" i="34"/>
  <c r="R118" i="34"/>
  <c r="V118" i="34"/>
  <c r="AA118" i="34"/>
  <c r="P295" i="34"/>
  <c r="Q295" i="34"/>
  <c r="R295" i="34"/>
  <c r="V295" i="34"/>
  <c r="AA295" i="34"/>
  <c r="Q174" i="34"/>
  <c r="P174" i="34"/>
  <c r="R174" i="34"/>
  <c r="V174" i="34"/>
  <c r="AA174" i="34"/>
  <c r="P413" i="34"/>
  <c r="Q413" i="34"/>
  <c r="R413" i="34"/>
  <c r="V413" i="34"/>
  <c r="AA413" i="34"/>
  <c r="Q277" i="34"/>
  <c r="R277" i="34"/>
  <c r="V277" i="34"/>
  <c r="AA277" i="34"/>
  <c r="P277" i="34"/>
  <c r="P885" i="34"/>
  <c r="Q885" i="34"/>
  <c r="R885" i="34"/>
  <c r="V885" i="34"/>
  <c r="AA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P500" i="34"/>
  <c r="Q500" i="34"/>
  <c r="A500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366" i="34"/>
  <c r="B3367" i="34"/>
  <c r="B3368" i="34"/>
  <c r="B3369" i="34"/>
  <c r="B3370" i="34"/>
  <c r="B3371" i="34"/>
  <c r="G22" i="68" l="1"/>
  <c r="H22" i="68" s="1"/>
  <c r="F23" i="68" s="1"/>
  <c r="Q3369" i="34"/>
  <c r="V3369" i="34"/>
  <c r="R3369" i="34"/>
  <c r="AA3369" i="34"/>
  <c r="P3369" i="34"/>
  <c r="R3368" i="34"/>
  <c r="V3368" i="34"/>
  <c r="AA3368" i="34"/>
  <c r="P3368" i="34"/>
  <c r="Q3368" i="34"/>
  <c r="P3371" i="34"/>
  <c r="Q3371" i="34"/>
  <c r="R3371" i="34"/>
  <c r="V3371" i="34"/>
  <c r="AA3371" i="34"/>
  <c r="P3367" i="34"/>
  <c r="Q3367" i="34"/>
  <c r="R3367" i="34"/>
  <c r="V3367" i="34"/>
  <c r="AA3367" i="34"/>
  <c r="P3370" i="34"/>
  <c r="R3370" i="34"/>
  <c r="V3370" i="34"/>
  <c r="AA3370" i="34"/>
  <c r="Q3370" i="34"/>
  <c r="P3366" i="34"/>
  <c r="R3366" i="34"/>
  <c r="V3366" i="34"/>
  <c r="AA3366" i="34"/>
  <c r="Q3366" i="34"/>
  <c r="A3368" i="34"/>
  <c r="A3367" i="34"/>
  <c r="A3366" i="34"/>
  <c r="A3369" i="34"/>
  <c r="A3370" i="34"/>
  <c r="A3371" i="34"/>
  <c r="I6" i="43"/>
  <c r="G23" i="68" l="1"/>
  <c r="H23" i="68" s="1"/>
  <c r="F24" i="68" s="1"/>
  <c r="S1718" i="34"/>
  <c r="U1823" i="34"/>
  <c r="S1867" i="34"/>
  <c r="T1717" i="34"/>
  <c r="U1790" i="34"/>
  <c r="T1916" i="34"/>
  <c r="S1782" i="34"/>
  <c r="T1716" i="34"/>
  <c r="T1842" i="34"/>
  <c r="U1924" i="34"/>
  <c r="S1786" i="34"/>
  <c r="U1916" i="34"/>
  <c r="U1921" i="34"/>
  <c r="U1799" i="34"/>
  <c r="S1713" i="34"/>
  <c r="U1917" i="34"/>
  <c r="S1921" i="34"/>
  <c r="T1850" i="34"/>
  <c r="S1865" i="34"/>
  <c r="T1792" i="34"/>
  <c r="U1718" i="34"/>
  <c r="U1867" i="34"/>
  <c r="U1872" i="34"/>
  <c r="T1668" i="34"/>
  <c r="S1847" i="34"/>
  <c r="T1909" i="34"/>
  <c r="U1669" i="34"/>
  <c r="T1841" i="34"/>
  <c r="S1910" i="34"/>
  <c r="S1787" i="34"/>
  <c r="S1915" i="34"/>
  <c r="T1908" i="34"/>
  <c r="T1891" i="34"/>
  <c r="T1919" i="34"/>
  <c r="S1784" i="34"/>
  <c r="S1871" i="34"/>
  <c r="U1843" i="34"/>
  <c r="T1799" i="34"/>
  <c r="S1840" i="34"/>
  <c r="S1922" i="34"/>
  <c r="T1787" i="34"/>
  <c r="S1864" i="34"/>
  <c r="U1824" i="34"/>
  <c r="S1790" i="34"/>
  <c r="S1892" i="34"/>
  <c r="S1914" i="34"/>
  <c r="U1869" i="34"/>
  <c r="S1789" i="34"/>
  <c r="U1920" i="34"/>
  <c r="U1847" i="34"/>
  <c r="T1784" i="34"/>
  <c r="U1919" i="34"/>
  <c r="U1463" i="34"/>
  <c r="S1633" i="34"/>
  <c r="T1688" i="34"/>
  <c r="S1667" i="34"/>
  <c r="U1634" i="34"/>
  <c r="U1620" i="34"/>
  <c r="S1688" i="34"/>
  <c r="S1632" i="34"/>
  <c r="T1666" i="34"/>
  <c r="S1567" i="34"/>
  <c r="T1490" i="34"/>
  <c r="U1528" i="34"/>
  <c r="U1465" i="34"/>
  <c r="U1530" i="34"/>
  <c r="T1466" i="34"/>
  <c r="T1520" i="34"/>
  <c r="S1550" i="34"/>
  <c r="U1526" i="34"/>
  <c r="U1800" i="34"/>
  <c r="U1612" i="34"/>
  <c r="U1466" i="34"/>
  <c r="T1550" i="34"/>
  <c r="U1491" i="34"/>
  <c r="T1529" i="34"/>
  <c r="T1519" i="34"/>
  <c r="S1818" i="34"/>
  <c r="S1572" i="34"/>
  <c r="U1474" i="34"/>
  <c r="U1521" i="34"/>
  <c r="T1438" i="34"/>
  <c r="U1818" i="34"/>
  <c r="S1517" i="34"/>
  <c r="T1571" i="34"/>
  <c r="U1821" i="34"/>
  <c r="S1527" i="34"/>
  <c r="S1613" i="34"/>
  <c r="T1570" i="34"/>
  <c r="S1571" i="34"/>
  <c r="U1568" i="34"/>
  <c r="S1410" i="34"/>
  <c r="T1391" i="34"/>
  <c r="S1411" i="34"/>
  <c r="U1376" i="34"/>
  <c r="T1358" i="34"/>
  <c r="S1330" i="34"/>
  <c r="S1358" i="34"/>
  <c r="T1330" i="34"/>
  <c r="S1331" i="34"/>
  <c r="S1391" i="34"/>
  <c r="T1393" i="34"/>
  <c r="T1412" i="34"/>
  <c r="S1334" i="34"/>
  <c r="U1356" i="34"/>
  <c r="U1334" i="34"/>
  <c r="T1394" i="34"/>
  <c r="S1791" i="34"/>
  <c r="T1741" i="34"/>
  <c r="T1883" i="34"/>
  <c r="T1776" i="34"/>
  <c r="S1917" i="34"/>
  <c r="U1890" i="34"/>
  <c r="T1823" i="34"/>
  <c r="U1741" i="34"/>
  <c r="U1883" i="34"/>
  <c r="U1717" i="34"/>
  <c r="T1790" i="34"/>
  <c r="T1868" i="34"/>
  <c r="U1850" i="34"/>
  <c r="S1883" i="34"/>
  <c r="S1776" i="34"/>
  <c r="T1843" i="34"/>
  <c r="S1668" i="34"/>
  <c r="T1822" i="34"/>
  <c r="U1909" i="34"/>
  <c r="U1841" i="34"/>
  <c r="T1782" i="34"/>
  <c r="U1713" i="34"/>
  <c r="S1916" i="34"/>
  <c r="S1850" i="34"/>
  <c r="T1913" i="34"/>
  <c r="U1918" i="34"/>
  <c r="S1669" i="34"/>
  <c r="S1866" i="34"/>
  <c r="U1923" i="34"/>
  <c r="T1718" i="34"/>
  <c r="U1911" i="34"/>
  <c r="U1668" i="34"/>
  <c r="S1783" i="34"/>
  <c r="T1714" i="34"/>
  <c r="U1863" i="34"/>
  <c r="U1785" i="34"/>
  <c r="U1782" i="34"/>
  <c r="S1911" i="34"/>
  <c r="S1913" i="34"/>
  <c r="S1870" i="34"/>
  <c r="S1715" i="34"/>
  <c r="U1871" i="34"/>
  <c r="U1786" i="34"/>
  <c r="U1868" i="34"/>
  <c r="U1787" i="34"/>
  <c r="U1789" i="34"/>
  <c r="T1918" i="34"/>
  <c r="U1922" i="34"/>
  <c r="S1824" i="34"/>
  <c r="U1719" i="34"/>
  <c r="S1463" i="34"/>
  <c r="T1463" i="34"/>
  <c r="T1871" i="34"/>
  <c r="T1687" i="34"/>
  <c r="T1634" i="34"/>
  <c r="T1695" i="34"/>
  <c r="U1695" i="34"/>
  <c r="S1620" i="34"/>
  <c r="S1634" i="34"/>
  <c r="U1667" i="34"/>
  <c r="T1712" i="34"/>
  <c r="S1489" i="34"/>
  <c r="U1613" i="34"/>
  <c r="S1528" i="34"/>
  <c r="T1491" i="34"/>
  <c r="U1817" i="34"/>
  <c r="U1548" i="34"/>
  <c r="U1490" i="34"/>
  <c r="U1569" i="34"/>
  <c r="U1517" i="34"/>
  <c r="S1800" i="34"/>
  <c r="T1530" i="34"/>
  <c r="T1492" i="34"/>
  <c r="T1607" i="34"/>
  <c r="T1800" i="34"/>
  <c r="U1518" i="34"/>
  <c r="U1392" i="34"/>
  <c r="U1549" i="34"/>
  <c r="U1527" i="34"/>
  <c r="T1819" i="34"/>
  <c r="U1820" i="34"/>
  <c r="U1519" i="34"/>
  <c r="U1489" i="34"/>
  <c r="S1491" i="34"/>
  <c r="S1438" i="34"/>
  <c r="S1821" i="34"/>
  <c r="S1525" i="34"/>
  <c r="S1607" i="34"/>
  <c r="S1530" i="34"/>
  <c r="U1438" i="34"/>
  <c r="S1568" i="34"/>
  <c r="T1376" i="34"/>
  <c r="T1413" i="34"/>
  <c r="S1312" i="34"/>
  <c r="S1357" i="34"/>
  <c r="S1355" i="34"/>
  <c r="S1333" i="34"/>
  <c r="T1411" i="34"/>
  <c r="U1410" i="34"/>
  <c r="T1357" i="34"/>
  <c r="S1413" i="34"/>
  <c r="U1312" i="34"/>
  <c r="S1353" i="34"/>
  <c r="S1332" i="34"/>
  <c r="T1410" i="34"/>
  <c r="T1332" i="34"/>
  <c r="U1412" i="34"/>
  <c r="U1788" i="34"/>
  <c r="S1799" i="34"/>
  <c r="T1893" i="34"/>
  <c r="U1464" i="34"/>
  <c r="T1831" i="34"/>
  <c r="S1908" i="34"/>
  <c r="U1848" i="34"/>
  <c r="S1741" i="34"/>
  <c r="U1893" i="34"/>
  <c r="S1717" i="34"/>
  <c r="U1831" i="34"/>
  <c r="T1890" i="34"/>
  <c r="U1791" i="34"/>
  <c r="T1911" i="34"/>
  <c r="T1786" i="34"/>
  <c r="S1872" i="34"/>
  <c r="T1777" i="34"/>
  <c r="U1913" i="34"/>
  <c r="T1669" i="34"/>
  <c r="S1841" i="34"/>
  <c r="T1848" i="34"/>
  <c r="U1776" i="34"/>
  <c r="U1908" i="34"/>
  <c r="U1822" i="34"/>
  <c r="T1865" i="34"/>
  <c r="S1918" i="34"/>
  <c r="U1783" i="34"/>
  <c r="T1870" i="34"/>
  <c r="S1923" i="34"/>
  <c r="T1788" i="34"/>
  <c r="T1713" i="34"/>
  <c r="U1777" i="34"/>
  <c r="U1792" i="34"/>
  <c r="T1715" i="34"/>
  <c r="T1789" i="34"/>
  <c r="T1867" i="34"/>
  <c r="S1823" i="34"/>
  <c r="T1917" i="34"/>
  <c r="T1869" i="34"/>
  <c r="S1919" i="34"/>
  <c r="T1914" i="34"/>
  <c r="T1920" i="34"/>
  <c r="T1791" i="34"/>
  <c r="T1847" i="34"/>
  <c r="U1715" i="34"/>
  <c r="S1920" i="34"/>
  <c r="T1866" i="34"/>
  <c r="U1892" i="34"/>
  <c r="S1849" i="34"/>
  <c r="T1910" i="34"/>
  <c r="U1915" i="34"/>
  <c r="S1909" i="34"/>
  <c r="T1620" i="34"/>
  <c r="U1712" i="34"/>
  <c r="U1666" i="34"/>
  <c r="T1633" i="34"/>
  <c r="U1694" i="34"/>
  <c r="S1687" i="34"/>
  <c r="T1694" i="34"/>
  <c r="S1695" i="34"/>
  <c r="S1666" i="34"/>
  <c r="U1520" i="34"/>
  <c r="S1819" i="34"/>
  <c r="T1526" i="34"/>
  <c r="S1570" i="34"/>
  <c r="S1817" i="34"/>
  <c r="T1527" i="34"/>
  <c r="S1474" i="34"/>
  <c r="S1569" i="34"/>
  <c r="S1521" i="34"/>
  <c r="T1820" i="34"/>
  <c r="T1817" i="34"/>
  <c r="U1567" i="34"/>
  <c r="S1526" i="34"/>
  <c r="T1551" i="34"/>
  <c r="S1548" i="34"/>
  <c r="S1392" i="34"/>
  <c r="S1549" i="34"/>
  <c r="U1492" i="34"/>
  <c r="U1550" i="34"/>
  <c r="U1551" i="34"/>
  <c r="S1519" i="34"/>
  <c r="S1490" i="34"/>
  <c r="S1612" i="34"/>
  <c r="T1392" i="34"/>
  <c r="T1549" i="34"/>
  <c r="S1492" i="34"/>
  <c r="S1465" i="34"/>
  <c r="T1518" i="34"/>
  <c r="U1473" i="34"/>
  <c r="T1572" i="34"/>
  <c r="T1333" i="34"/>
  <c r="U1358" i="34"/>
  <c r="S1394" i="34"/>
  <c r="S1354" i="34"/>
  <c r="S1335" i="34"/>
  <c r="U1357" i="34"/>
  <c r="U1335" i="34"/>
  <c r="T1353" i="34"/>
  <c r="T1354" i="34"/>
  <c r="U1332" i="34"/>
  <c r="U1394" i="34"/>
  <c r="S1376" i="34"/>
  <c r="U1355" i="34"/>
  <c r="U1353" i="34"/>
  <c r="U1393" i="34"/>
  <c r="S1788" i="34"/>
  <c r="U1842" i="34"/>
  <c r="T1924" i="34"/>
  <c r="S1464" i="34"/>
  <c r="T1872" i="34"/>
  <c r="T1912" i="34"/>
  <c r="S1848" i="34"/>
  <c r="T1824" i="34"/>
  <c r="S1893" i="34"/>
  <c r="T1464" i="34"/>
  <c r="S1843" i="34"/>
  <c r="U1912" i="34"/>
  <c r="T1785" i="34"/>
  <c r="S1924" i="34"/>
  <c r="T1849" i="34"/>
  <c r="S1912" i="34"/>
  <c r="S1777" i="34"/>
  <c r="U1865" i="34"/>
  <c r="T1783" i="34"/>
  <c r="U1870" i="34"/>
  <c r="T1915" i="34"/>
  <c r="S1831" i="34"/>
  <c r="T1921" i="34"/>
  <c r="T1840" i="34"/>
  <c r="S1891" i="34"/>
  <c r="T1922" i="34"/>
  <c r="S1719" i="34"/>
  <c r="U1910" i="34"/>
  <c r="S1714" i="34"/>
  <c r="S1842" i="34"/>
  <c r="S1868" i="34"/>
  <c r="S1869" i="34"/>
  <c r="T1892" i="34"/>
  <c r="U1784" i="34"/>
  <c r="T1864" i="34"/>
  <c r="U1849" i="34"/>
  <c r="U1716" i="34"/>
  <c r="S1890" i="34"/>
  <c r="U1891" i="34"/>
  <c r="U1714" i="34"/>
  <c r="U1864" i="34"/>
  <c r="S1716" i="34"/>
  <c r="S1785" i="34"/>
  <c r="T1719" i="34"/>
  <c r="T1863" i="34"/>
  <c r="S1822" i="34"/>
  <c r="U1914" i="34"/>
  <c r="S1863" i="34"/>
  <c r="U1840" i="34"/>
  <c r="T1923" i="34"/>
  <c r="S1792" i="34"/>
  <c r="U1866" i="34"/>
  <c r="U1633" i="34"/>
  <c r="S1712" i="34"/>
  <c r="T1632" i="34"/>
  <c r="U1687" i="34"/>
  <c r="T1667" i="34"/>
  <c r="U1688" i="34"/>
  <c r="U1632" i="34"/>
  <c r="S1694" i="34"/>
  <c r="U1525" i="34"/>
  <c r="S1520" i="34"/>
  <c r="T1569" i="34"/>
  <c r="T1517" i="34"/>
  <c r="T1612" i="34"/>
  <c r="S1518" i="34"/>
  <c r="T1525" i="34"/>
  <c r="T1613" i="34"/>
  <c r="T1528" i="34"/>
  <c r="T1465" i="34"/>
  <c r="S1551" i="34"/>
  <c r="S1529" i="34"/>
  <c r="T1474" i="34"/>
  <c r="T1521" i="34"/>
  <c r="U1570" i="34"/>
  <c r="U1571" i="34"/>
  <c r="T1821" i="34"/>
  <c r="U1572" i="34"/>
  <c r="T1489" i="34"/>
  <c r="U1607" i="34"/>
  <c r="U1529" i="34"/>
  <c r="T1473" i="34"/>
  <c r="U1819" i="34"/>
  <c r="S1466" i="34"/>
  <c r="S1473" i="34"/>
  <c r="T1568" i="34"/>
  <c r="T1567" i="34"/>
  <c r="S1820" i="34"/>
  <c r="T1548" i="34"/>
  <c r="T1818" i="34"/>
  <c r="U1330" i="34"/>
  <c r="U1331" i="34"/>
  <c r="U1411" i="34"/>
  <c r="T1356" i="34"/>
  <c r="U1413" i="34"/>
  <c r="S1356" i="34"/>
  <c r="T1334" i="34"/>
  <c r="S1412" i="34"/>
  <c r="U1333" i="34"/>
  <c r="U1391" i="34"/>
  <c r="T1355" i="34"/>
  <c r="T1335" i="34"/>
  <c r="T1331" i="34"/>
  <c r="S1393" i="34"/>
  <c r="U1354" i="34"/>
  <c r="T1312" i="34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G24" i="68" l="1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39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G26" i="68" l="1"/>
  <c r="H26" i="68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G29" i="68" l="1"/>
  <c r="H27" i="68"/>
  <c r="R21" i="34"/>
  <c r="V21" i="34"/>
  <c r="AA21" i="34"/>
  <c r="P21" i="34"/>
  <c r="Q21" i="34"/>
  <c r="Q22" i="34"/>
  <c r="R22" i="34"/>
  <c r="V22" i="34"/>
  <c r="AA22" i="34"/>
  <c r="P22" i="34"/>
  <c r="P20" i="34"/>
  <c r="Q20" i="34"/>
  <c r="R20" i="34"/>
  <c r="V20" i="34"/>
  <c r="AA20" i="34"/>
  <c r="A16" i="34"/>
  <c r="P16" i="34"/>
  <c r="Q16" i="34"/>
  <c r="R16" i="34"/>
  <c r="V16" i="34"/>
  <c r="AA16" i="34"/>
  <c r="Q19" i="34"/>
  <c r="R19" i="34"/>
  <c r="V19" i="34"/>
  <c r="AA19" i="34"/>
  <c r="P19" i="34"/>
  <c r="A15" i="34"/>
  <c r="Q15" i="34"/>
  <c r="R15" i="34"/>
  <c r="V15" i="34"/>
  <c r="AA15" i="34"/>
  <c r="P15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8" i="12"/>
  <c r="C2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618" i="34" l="1"/>
  <c r="W1587" i="34"/>
  <c r="W1586" i="34"/>
  <c r="W1616" i="34"/>
  <c r="W1619" i="34"/>
  <c r="W1617" i="34"/>
  <c r="X1616" i="34"/>
  <c r="X1615" i="34"/>
  <c r="X2700" i="34"/>
  <c r="X2697" i="34"/>
  <c r="X2696" i="34"/>
  <c r="X2701" i="34"/>
  <c r="X1974" i="34"/>
  <c r="X1689" i="34"/>
  <c r="X1487" i="34"/>
  <c r="X1873" i="34"/>
  <c r="X1766" i="34"/>
  <c r="X1401" i="34"/>
  <c r="X1642" i="34"/>
  <c r="X1641" i="34"/>
  <c r="X1442" i="34"/>
  <c r="X1823" i="34"/>
  <c r="X1842" i="34"/>
  <c r="X1849" i="34"/>
  <c r="X1924" i="34"/>
  <c r="X1872" i="34"/>
  <c r="X1850" i="34"/>
  <c r="X1908" i="34"/>
  <c r="X1922" i="34"/>
  <c r="X1464" i="34"/>
  <c r="X1783" i="34"/>
  <c r="X1782" i="34"/>
  <c r="X1841" i="34"/>
  <c r="X1741" i="34"/>
  <c r="X1918" i="34"/>
  <c r="X1005" i="34"/>
  <c r="X1777" i="34"/>
  <c r="X1715" i="34"/>
  <c r="X1920" i="34"/>
  <c r="X1812" i="34"/>
  <c r="X1927" i="34"/>
  <c r="X1778" i="34"/>
  <c r="X1828" i="34"/>
  <c r="X1810" i="34"/>
  <c r="X1904" i="34"/>
  <c r="X1832" i="34"/>
  <c r="X1827" i="34"/>
  <c r="X1769" i="34"/>
  <c r="X1801" i="34"/>
  <c r="X1929" i="34"/>
  <c r="X1895" i="34"/>
  <c r="X1833" i="34"/>
  <c r="X1854" i="34"/>
  <c r="X1803" i="34"/>
  <c r="X1839" i="34"/>
  <c r="X1815" i="34"/>
  <c r="X1882" i="34"/>
  <c r="X1765" i="34"/>
  <c r="X1887" i="34"/>
  <c r="X1809" i="34"/>
  <c r="X1862" i="34"/>
  <c r="X1807" i="34"/>
  <c r="X1836" i="34"/>
  <c r="X1694" i="34"/>
  <c r="X1620" i="34"/>
  <c r="X1580" i="34"/>
  <c r="X1527" i="34"/>
  <c r="X1495" i="34"/>
  <c r="X1664" i="34"/>
  <c r="X1710" i="34"/>
  <c r="X1599" i="34"/>
  <c r="X1530" i="34"/>
  <c r="X1488" i="34"/>
  <c r="X1445" i="34"/>
  <c r="X1453" i="34"/>
  <c r="X1526" i="34"/>
  <c r="X1578" i="34"/>
  <c r="X1447" i="34"/>
  <c r="X1508" i="34"/>
  <c r="X1489" i="34"/>
  <c r="X1502" i="34"/>
  <c r="X1606" i="34"/>
  <c r="X1597" i="34"/>
  <c r="X1510" i="34"/>
  <c r="X1509" i="34"/>
  <c r="X1736" i="34"/>
  <c r="X1549" i="34"/>
  <c r="X1708" i="34"/>
  <c r="X1451" i="34"/>
  <c r="X1577" i="34"/>
  <c r="X1609" i="34"/>
  <c r="X1494" i="34"/>
  <c r="X1705" i="34"/>
  <c r="X1521" i="34"/>
  <c r="X1707" i="34"/>
  <c r="X1740" i="34"/>
  <c r="X487" i="34"/>
  <c r="X373" i="34"/>
  <c r="X512" i="34"/>
  <c r="X596" i="34"/>
  <c r="X389" i="34"/>
  <c r="X34" i="34"/>
  <c r="X58" i="34"/>
  <c r="X25" i="34"/>
  <c r="X35" i="34"/>
  <c r="X23" i="34"/>
  <c r="X44" i="34"/>
  <c r="X24" i="34"/>
  <c r="X48" i="34"/>
  <c r="X31" i="34"/>
  <c r="X47" i="34"/>
  <c r="X18" i="34"/>
  <c r="X1263" i="34"/>
  <c r="X1268" i="34"/>
  <c r="X282" i="34"/>
  <c r="X1331" i="34"/>
  <c r="X1393" i="34"/>
  <c r="X1334" i="34"/>
  <c r="X1333" i="34"/>
  <c r="X1354" i="34"/>
  <c r="X1403" i="34"/>
  <c r="X1389" i="34"/>
  <c r="X1286" i="34"/>
  <c r="X1421" i="34"/>
  <c r="X1290" i="34"/>
  <c r="X1215" i="34"/>
  <c r="X1317" i="34"/>
  <c r="X1432" i="34"/>
  <c r="X1303" i="34"/>
  <c r="X1219" i="34"/>
  <c r="X1295" i="34"/>
  <c r="X1423" i="34"/>
  <c r="X1292" i="34"/>
  <c r="X1415" i="34"/>
  <c r="X1298" i="34"/>
  <c r="X1246" i="34"/>
  <c r="X1345" i="34"/>
  <c r="X1214" i="34"/>
  <c r="X1300" i="34"/>
  <c r="X1418" i="34"/>
  <c r="X1386" i="34"/>
  <c r="X1223" i="34"/>
  <c r="X1344" i="34"/>
  <c r="X1283" i="34"/>
  <c r="X1414" i="34"/>
  <c r="X1281" i="34"/>
  <c r="X1323" i="34"/>
  <c r="X1322" i="34"/>
  <c r="X1318" i="34"/>
  <c r="X1278" i="34"/>
  <c r="X1276" i="34"/>
  <c r="X1125" i="34"/>
  <c r="X1105" i="34"/>
  <c r="X1374" i="34"/>
  <c r="X948" i="34"/>
  <c r="X739" i="34"/>
  <c r="X1327" i="34"/>
  <c r="X981" i="34"/>
  <c r="X2656" i="34"/>
  <c r="X2754" i="34"/>
  <c r="X2798" i="34"/>
  <c r="X2665" i="34"/>
  <c r="X2649" i="34"/>
  <c r="X2677" i="34"/>
  <c r="X2714" i="34"/>
  <c r="X2772" i="34"/>
  <c r="X2642" i="34"/>
  <c r="X2719" i="34"/>
  <c r="X2653" i="34"/>
  <c r="X2033" i="34"/>
  <c r="X2221" i="34"/>
  <c r="X2902" i="34"/>
  <c r="X1936" i="34"/>
  <c r="X2185" i="34"/>
  <c r="X1677" i="34"/>
  <c r="X2050" i="34"/>
  <c r="X1255" i="34"/>
  <c r="X1175" i="34"/>
  <c r="X2189" i="34"/>
  <c r="X2179" i="34"/>
  <c r="X1028" i="34"/>
  <c r="X1674" i="34"/>
  <c r="X1639" i="34"/>
  <c r="X2106" i="34"/>
  <c r="X2044" i="34"/>
  <c r="X2180" i="34"/>
  <c r="X1480" i="34"/>
  <c r="X1631" i="34"/>
  <c r="X1522" i="34"/>
  <c r="X2130" i="34"/>
  <c r="X1173" i="34"/>
  <c r="X1478" i="34"/>
  <c r="X2051" i="34"/>
  <c r="X2165" i="34"/>
  <c r="X1176" i="34"/>
  <c r="X1030" i="34"/>
  <c r="X1760" i="34"/>
  <c r="X2159" i="34"/>
  <c r="X1178" i="34"/>
  <c r="X971" i="34"/>
  <c r="X2052" i="34"/>
  <c r="X1187" i="34"/>
  <c r="X1129" i="34"/>
  <c r="X2190" i="34"/>
  <c r="X1243" i="34"/>
  <c r="X1121" i="34"/>
  <c r="X2133" i="34"/>
  <c r="X1752" i="34"/>
  <c r="X1638" i="34"/>
  <c r="X1477" i="34"/>
  <c r="X1640" i="34"/>
  <c r="X2049" i="34"/>
  <c r="X2163" i="34"/>
  <c r="X1513" i="34"/>
  <c r="X1979" i="34"/>
  <c r="X574" i="34"/>
  <c r="X776" i="34"/>
  <c r="X539" i="34"/>
  <c r="X962" i="34"/>
  <c r="X892" i="34"/>
  <c r="X497" i="34"/>
  <c r="X552" i="34"/>
  <c r="X538" i="34"/>
  <c r="X961" i="34"/>
  <c r="X1051" i="34"/>
  <c r="X579" i="34"/>
  <c r="X1007" i="34"/>
  <c r="X522" i="34"/>
  <c r="X783" i="34"/>
  <c r="X588" i="34"/>
  <c r="X1006" i="34"/>
  <c r="X505" i="34"/>
  <c r="X716" i="34"/>
  <c r="X1092" i="34"/>
  <c r="X818" i="34"/>
  <c r="X153" i="34"/>
  <c r="X715" i="34"/>
  <c r="X1039" i="34"/>
  <c r="X575" i="34"/>
  <c r="X777" i="34"/>
  <c r="X1205" i="34"/>
  <c r="X540" i="34"/>
  <c r="X767" i="34"/>
  <c r="X1045" i="34"/>
  <c r="X587" i="34"/>
  <c r="X598" i="34"/>
  <c r="X541" i="34"/>
  <c r="X168" i="34"/>
  <c r="X1086" i="34"/>
  <c r="X1107" i="34"/>
  <c r="X498" i="34"/>
  <c r="X152" i="34"/>
  <c r="X616" i="34"/>
  <c r="X816" i="34"/>
  <c r="X1082" i="34"/>
  <c r="X119" i="34"/>
  <c r="X2816" i="34"/>
  <c r="X2524" i="34"/>
  <c r="X3203" i="34"/>
  <c r="X3157" i="34"/>
  <c r="X3269" i="34"/>
  <c r="X3031" i="34"/>
  <c r="X2862" i="34"/>
  <c r="X2971" i="34"/>
  <c r="X2752" i="34"/>
  <c r="X3317" i="34"/>
  <c r="X3143" i="34"/>
  <c r="X3241" i="34"/>
  <c r="X3061" i="34"/>
  <c r="X2651" i="34"/>
  <c r="X2843" i="34"/>
  <c r="X2763" i="34"/>
  <c r="X2523" i="34"/>
  <c r="X3118" i="34"/>
  <c r="X3150" i="34"/>
  <c r="X3048" i="34"/>
  <c r="X3162" i="34"/>
  <c r="X3220" i="34"/>
  <c r="X3022" i="34"/>
  <c r="X2765" i="34"/>
  <c r="X2605" i="34"/>
  <c r="X2731" i="34"/>
  <c r="X3100" i="34"/>
  <c r="X3246" i="34"/>
  <c r="X3278" i="34"/>
  <c r="X2782" i="34"/>
  <c r="X2732" i="34"/>
  <c r="X3207" i="34"/>
  <c r="X3175" i="34"/>
  <c r="X3273" i="34"/>
  <c r="X3089" i="34"/>
  <c r="X2650" i="34"/>
  <c r="X2975" i="34"/>
  <c r="X2834" i="34"/>
  <c r="X2578" i="34"/>
  <c r="X3123" i="34"/>
  <c r="X3191" i="34"/>
  <c r="X3049" i="34"/>
  <c r="X2863" i="34"/>
  <c r="X2503" i="34"/>
  <c r="X2839" i="34"/>
  <c r="X3316" i="34"/>
  <c r="X3146" i="34"/>
  <c r="X3028" i="34"/>
  <c r="X3060" i="34"/>
  <c r="X3240" i="34"/>
  <c r="X3180" i="34"/>
  <c r="X3012" i="34"/>
  <c r="X2535" i="34"/>
  <c r="X3196" i="34"/>
  <c r="X3104" i="34"/>
  <c r="X3266" i="34"/>
  <c r="X2990" i="34"/>
  <c r="X3223" i="34"/>
  <c r="X3021" i="34"/>
  <c r="X2802" i="34"/>
  <c r="X2734" i="34"/>
  <c r="X3205" i="34"/>
  <c r="X3247" i="34"/>
  <c r="X3279" i="34"/>
  <c r="X3289" i="34"/>
  <c r="X2598" i="34"/>
  <c r="X2836" i="34"/>
  <c r="X2580" i="34"/>
  <c r="X3319" i="34"/>
  <c r="X3145" i="34"/>
  <c r="X3290" i="34"/>
  <c r="X2593" i="34"/>
  <c r="X2837" i="34"/>
  <c r="X2545" i="34"/>
  <c r="X3132" i="34"/>
  <c r="X3192" i="34"/>
  <c r="X3046" i="34"/>
  <c r="X3168" i="34"/>
  <c r="X3214" i="34"/>
  <c r="X3016" i="34"/>
  <c r="X2787" i="34"/>
  <c r="X2539" i="34"/>
  <c r="X3160" i="34"/>
  <c r="X3106" i="34"/>
  <c r="X3235" i="34"/>
  <c r="X3083" i="34"/>
  <c r="X3007" i="34"/>
  <c r="X2526" i="34"/>
  <c r="X2522" i="34"/>
  <c r="X3101" i="34"/>
  <c r="X3259" i="34"/>
  <c r="X2991" i="34"/>
  <c r="X3001" i="34"/>
  <c r="X2864" i="34"/>
  <c r="X2504" i="34"/>
  <c r="X2840" i="34"/>
  <c r="X2584" i="34"/>
  <c r="X2995" i="34"/>
  <c r="X3149" i="34"/>
  <c r="X3034" i="34"/>
  <c r="X2521" i="34"/>
  <c r="X2599" i="34"/>
  <c r="X2974" i="34"/>
  <c r="X2833" i="34"/>
  <c r="X2577" i="34"/>
  <c r="X3128" i="34"/>
  <c r="X3284" i="34"/>
  <c r="X3042" i="34"/>
  <c r="X3154" i="34"/>
  <c r="X3234" i="34"/>
  <c r="X3082" i="34"/>
  <c r="X2603" i="34"/>
  <c r="X2515" i="34"/>
  <c r="X3110" i="34"/>
  <c r="X3268" i="34"/>
  <c r="X3032" i="34"/>
  <c r="X3193" i="34"/>
  <c r="X3043" i="34"/>
  <c r="X3155" i="34"/>
  <c r="X3225" i="34"/>
  <c r="X3073" i="34"/>
  <c r="X3248" i="34"/>
  <c r="X3280" i="34"/>
  <c r="X3310" i="34"/>
  <c r="X3364" i="34"/>
  <c r="X3063" i="34"/>
  <c r="X3237" i="34"/>
  <c r="X3177" i="34"/>
  <c r="X3301" i="34"/>
  <c r="X2417" i="34"/>
  <c r="X2451" i="34"/>
  <c r="X2419" i="34"/>
  <c r="X2349" i="34"/>
  <c r="X2386" i="34"/>
  <c r="X2432" i="34"/>
  <c r="X2267" i="34"/>
  <c r="X2678" i="34"/>
  <c r="X2482" i="34"/>
  <c r="X2325" i="34"/>
  <c r="X2945" i="34"/>
  <c r="X2235" i="34"/>
  <c r="X2245" i="34"/>
  <c r="X2307" i="34"/>
  <c r="X1234" i="34"/>
  <c r="X2061" i="34"/>
  <c r="X2616" i="34"/>
  <c r="X2289" i="34"/>
  <c r="X1660" i="34"/>
  <c r="X2727" i="34"/>
  <c r="X2316" i="34"/>
  <c r="X2439" i="34"/>
  <c r="X2068" i="34"/>
  <c r="X2829" i="34"/>
  <c r="X2613" i="34"/>
  <c r="X2394" i="34"/>
  <c r="X2457" i="34"/>
  <c r="X2497" i="34"/>
  <c r="X2232" i="34"/>
  <c r="X1163" i="34"/>
  <c r="X1723" i="34"/>
  <c r="X2465" i="34"/>
  <c r="X2559" i="34"/>
  <c r="X2567" i="34"/>
  <c r="X2612" i="34"/>
  <c r="X2446" i="34"/>
  <c r="X2682" i="34"/>
  <c r="X2466" i="34"/>
  <c r="X2321" i="34"/>
  <c r="X2520" i="34"/>
  <c r="X2335" i="34"/>
  <c r="X2440" i="34"/>
  <c r="X2303" i="34"/>
  <c r="X1515" i="34"/>
  <c r="X2668" i="34"/>
  <c r="X2628" i="34"/>
  <c r="X3360" i="34"/>
  <c r="X1722" i="34"/>
  <c r="X2565" i="34"/>
  <c r="X2382" i="34"/>
  <c r="X2310" i="34"/>
  <c r="X2669" i="34"/>
  <c r="X2914" i="34"/>
  <c r="X2398" i="34"/>
  <c r="X2412" i="34"/>
  <c r="X2960" i="34"/>
  <c r="X2286" i="34"/>
  <c r="X1167" i="34"/>
  <c r="X2122" i="34"/>
  <c r="X2481" i="34"/>
  <c r="X2328" i="34"/>
  <c r="X1023" i="34"/>
  <c r="X2826" i="34"/>
  <c r="X2626" i="34"/>
  <c r="X2430" i="34"/>
  <c r="X2608" i="34"/>
  <c r="X2494" i="34"/>
  <c r="X2448" i="34"/>
  <c r="X2265" i="34"/>
  <c r="X1720" i="34"/>
  <c r="X2688" i="34"/>
  <c r="X2407" i="34"/>
  <c r="X2680" i="34"/>
  <c r="X2464" i="34"/>
  <c r="X2423" i="34"/>
  <c r="X2377" i="34"/>
  <c r="X2964" i="34"/>
  <c r="X2318" i="34"/>
  <c r="X2745" i="34"/>
  <c r="X2340" i="34"/>
  <c r="X2260" i="34"/>
  <c r="X2354" i="34"/>
  <c r="X1075" i="34"/>
  <c r="X1727" i="34"/>
  <c r="X2685" i="34"/>
  <c r="X2294" i="34"/>
  <c r="X2154" i="34"/>
  <c r="X2827" i="34"/>
  <c r="X2619" i="34"/>
  <c r="X2406" i="34"/>
  <c r="X2822" i="34"/>
  <c r="X2614" i="34"/>
  <c r="X2409" i="34"/>
  <c r="X2937" i="34"/>
  <c r="X2259" i="34"/>
  <c r="X1158" i="34"/>
  <c r="X1672" i="34"/>
  <c r="X2672" i="34"/>
  <c r="X2436" i="34"/>
  <c r="X1670" i="34"/>
  <c r="X2818" i="34"/>
  <c r="X2488" i="34"/>
  <c r="X2323" i="34"/>
  <c r="X2683" i="34"/>
  <c r="X2479" i="34"/>
  <c r="X2366" i="34"/>
  <c r="X2471" i="34"/>
  <c r="X2222" i="34"/>
  <c r="X2250" i="34"/>
  <c r="X2356" i="34"/>
  <c r="X1994" i="34"/>
  <c r="X2966" i="34"/>
  <c r="X2378" i="34"/>
  <c r="X2334" i="34"/>
  <c r="X2252" i="34"/>
  <c r="X2667" i="34"/>
  <c r="X2823" i="34"/>
  <c r="X2623" i="34"/>
  <c r="X2435" i="34"/>
  <c r="X2499" i="34"/>
  <c r="X2292" i="34"/>
  <c r="X1159" i="34"/>
  <c r="X1468" i="34"/>
  <c r="X2172" i="34"/>
  <c r="X1973" i="34"/>
  <c r="X2554" i="34"/>
  <c r="X2333" i="34"/>
  <c r="X2255" i="34"/>
  <c r="X2357" i="34"/>
  <c r="X1499" i="34"/>
  <c r="X1962" i="34"/>
  <c r="X2904" i="34"/>
  <c r="X2495" i="34"/>
  <c r="X2422" i="34"/>
  <c r="X1721" i="34"/>
  <c r="X1969" i="34"/>
  <c r="X2558" i="34"/>
  <c r="X2337" i="34"/>
  <c r="X2293" i="34"/>
  <c r="X2361" i="34"/>
  <c r="X1995" i="34"/>
  <c r="X1968" i="34"/>
  <c r="X2225" i="34"/>
  <c r="X2646" i="34"/>
  <c r="X2059" i="34"/>
  <c r="X1194" i="34"/>
  <c r="X922" i="34"/>
  <c r="X1206" i="34"/>
  <c r="X676" i="34"/>
  <c r="X720" i="34"/>
  <c r="X3335" i="34"/>
  <c r="X2193" i="34"/>
  <c r="X2137" i="34"/>
  <c r="X1556" i="34"/>
  <c r="X1060" i="34"/>
  <c r="X1150" i="34"/>
  <c r="X1056" i="34"/>
  <c r="X698" i="34"/>
  <c r="X2456" i="34"/>
  <c r="X2644" i="34"/>
  <c r="X1020" i="34"/>
  <c r="X1696" i="34"/>
  <c r="X998" i="34"/>
  <c r="X1604" i="34"/>
  <c r="X920" i="34"/>
  <c r="X906" i="34"/>
  <c r="X638" i="34"/>
  <c r="X710" i="34"/>
  <c r="X2878" i="34"/>
  <c r="X3334" i="34"/>
  <c r="X2761" i="34"/>
  <c r="X1955" i="34"/>
  <c r="X1482" i="34"/>
  <c r="X1621" i="34"/>
  <c r="X1938" i="34"/>
  <c r="X991" i="34"/>
  <c r="X466" i="34"/>
  <c r="X65" i="34"/>
  <c r="X697" i="34"/>
  <c r="X2938" i="34"/>
  <c r="X2807" i="34"/>
  <c r="X2166" i="34"/>
  <c r="X1191" i="34"/>
  <c r="X2018" i="34"/>
  <c r="X1261" i="34"/>
  <c r="X1209" i="34"/>
  <c r="X663" i="34"/>
  <c r="X751" i="34"/>
  <c r="X2873" i="34"/>
  <c r="X2112" i="34"/>
  <c r="X1941" i="34"/>
  <c r="X2038" i="34"/>
  <c r="X1133" i="34"/>
  <c r="X1143" i="34"/>
  <c r="X1053" i="34"/>
  <c r="X652" i="34"/>
  <c r="X3346" i="34"/>
  <c r="X2805" i="34"/>
  <c r="X3351" i="34"/>
  <c r="X2883" i="34"/>
  <c r="X2055" i="34"/>
  <c r="X1288" i="34"/>
  <c r="X1000" i="34"/>
  <c r="X1602" i="34"/>
  <c r="X1110" i="34"/>
  <c r="X680" i="34"/>
  <c r="X2927" i="34"/>
  <c r="X2810" i="34"/>
  <c r="X2145" i="34"/>
  <c r="X1379" i="34"/>
  <c r="X2091" i="34"/>
  <c r="X1560" i="34"/>
  <c r="X994" i="34"/>
  <c r="X1014" i="34"/>
  <c r="X3341" i="34"/>
  <c r="X2881" i="34"/>
  <c r="X2197" i="34"/>
  <c r="X1952" i="34"/>
  <c r="X1200" i="34"/>
  <c r="X1742" i="34"/>
  <c r="X1052" i="34"/>
  <c r="X642" i="34"/>
  <c r="X690" i="34"/>
  <c r="X2925" i="34"/>
  <c r="X2760" i="34"/>
  <c r="X2875" i="34"/>
  <c r="X2713" i="34"/>
  <c r="X1988" i="34"/>
  <c r="X1071" i="34"/>
  <c r="X2092" i="34"/>
  <c r="X1557" i="34"/>
  <c r="X1061" i="34"/>
  <c r="X1141" i="34"/>
  <c r="X169" i="34"/>
  <c r="X3340" i="34"/>
  <c r="X2942" i="34"/>
  <c r="X2196" i="34"/>
  <c r="X1514" i="34"/>
  <c r="X1149" i="34"/>
  <c r="X2080" i="34"/>
  <c r="X1097" i="34"/>
  <c r="X1115" i="34"/>
  <c r="X71" i="34"/>
  <c r="X659" i="34"/>
  <c r="X743" i="34"/>
  <c r="X2894" i="34"/>
  <c r="X2194" i="34"/>
  <c r="X1368" i="34"/>
  <c r="X2042" i="34"/>
  <c r="X1553" i="34"/>
  <c r="X1063" i="34"/>
  <c r="X1147" i="34"/>
  <c r="X3342" i="34"/>
  <c r="X2980" i="34"/>
  <c r="X2645" i="34"/>
  <c r="X2117" i="34"/>
  <c r="X1347" i="34"/>
  <c r="X2089" i="34"/>
  <c r="X1558" i="34"/>
  <c r="X992" i="34"/>
  <c r="X358" i="34"/>
  <c r="X83" i="34"/>
  <c r="X1985" i="34"/>
  <c r="X2054" i="34"/>
  <c r="X1287" i="34"/>
  <c r="X2074" i="34"/>
  <c r="X1603" i="34"/>
  <c r="X1079" i="34"/>
  <c r="X605" i="34"/>
  <c r="X679" i="34"/>
  <c r="X1957" i="34"/>
  <c r="X1954" i="34"/>
  <c r="X1070" i="34"/>
  <c r="X1999" i="34"/>
  <c r="X1552" i="34"/>
  <c r="X988" i="34"/>
  <c r="X1012" i="34"/>
  <c r="X158" i="34"/>
  <c r="X1960" i="34"/>
  <c r="X1701" i="34"/>
  <c r="X999" i="34"/>
  <c r="X1095" i="34"/>
  <c r="X447" i="34"/>
  <c r="X661" i="34"/>
  <c r="X719" i="34"/>
  <c r="X1982" i="34"/>
  <c r="X890" i="34"/>
  <c r="X771" i="34"/>
  <c r="X450" i="34"/>
  <c r="X235" i="34"/>
  <c r="X350" i="34"/>
  <c r="X284" i="34"/>
  <c r="X854" i="34"/>
  <c r="X107" i="34"/>
  <c r="X746" i="34"/>
  <c r="X227" i="34"/>
  <c r="X400" i="34"/>
  <c r="X830" i="34"/>
  <c r="X1730" i="34"/>
  <c r="X764" i="34"/>
  <c r="X467" i="34"/>
  <c r="X368" i="34"/>
  <c r="X2069" i="34"/>
  <c r="X864" i="34"/>
  <c r="X1614" i="34"/>
  <c r="X1975" i="34"/>
  <c r="X2708" i="34"/>
  <c r="X2705" i="34"/>
  <c r="X2704" i="34"/>
  <c r="X2709" i="34"/>
  <c r="X1485" i="34"/>
  <c r="X1691" i="34"/>
  <c r="X1692" i="34"/>
  <c r="X1874" i="34"/>
  <c r="X1399" i="34"/>
  <c r="X1437" i="34"/>
  <c r="X1436" i="34"/>
  <c r="X1767" i="34"/>
  <c r="X1645" i="34"/>
  <c r="X1716" i="34"/>
  <c r="X1915" i="34"/>
  <c r="X1868" i="34"/>
  <c r="X1713" i="34"/>
  <c r="X1916" i="34"/>
  <c r="X1718" i="34"/>
  <c r="X1840" i="34"/>
  <c r="X1870" i="34"/>
  <c r="X1917" i="34"/>
  <c r="X1792" i="34"/>
  <c r="X1848" i="34"/>
  <c r="X1923" i="34"/>
  <c r="X1786" i="34"/>
  <c r="X1719" i="34"/>
  <c r="X1784" i="34"/>
  <c r="X1945" i="34"/>
  <c r="X1789" i="34"/>
  <c r="X1864" i="34"/>
  <c r="X1856" i="34"/>
  <c r="X1860" i="34"/>
  <c r="X1804" i="34"/>
  <c r="X1888" i="34"/>
  <c r="X1770" i="34"/>
  <c r="X1884" i="34"/>
  <c r="X1838" i="34"/>
  <c r="X1829" i="34"/>
  <c r="X1797" i="34"/>
  <c r="X1795" i="34"/>
  <c r="X1861" i="34"/>
  <c r="X1934" i="34"/>
  <c r="X1845" i="34"/>
  <c r="X1932" i="34"/>
  <c r="X1897" i="34"/>
  <c r="X1877" i="34"/>
  <c r="X1885" i="34"/>
  <c r="X1802" i="34"/>
  <c r="X1813" i="34"/>
  <c r="X1793" i="34"/>
  <c r="X1906" i="34"/>
  <c r="X1764" i="34"/>
  <c r="X1806" i="34"/>
  <c r="X1666" i="34"/>
  <c r="X1633" i="34"/>
  <c r="X1687" i="34"/>
  <c r="X1576" i="34"/>
  <c r="X1773" i="34"/>
  <c r="X1734" i="34"/>
  <c r="X1507" i="34"/>
  <c r="X1610" i="34"/>
  <c r="X1465" i="34"/>
  <c r="X1735" i="34"/>
  <c r="X1739" i="34"/>
  <c r="X1501" i="34"/>
  <c r="X1928" i="34"/>
  <c r="X1517" i="34"/>
  <c r="X1772" i="34"/>
  <c r="X1738" i="34"/>
  <c r="X1579" i="34"/>
  <c r="X1520" i="34"/>
  <c r="X1907" i="34"/>
  <c r="X1571" i="34"/>
  <c r="X1568" i="34"/>
  <c r="X1452" i="34"/>
  <c r="X1548" i="34"/>
  <c r="X1680" i="34"/>
  <c r="X1572" i="34"/>
  <c r="X1504" i="34"/>
  <c r="X1611" i="34"/>
  <c r="X1506" i="34"/>
  <c r="X1519" i="34"/>
  <c r="X1781" i="34"/>
  <c r="X1474" i="34"/>
  <c r="X1800" i="34"/>
  <c r="X1529" i="34"/>
  <c r="X1438" i="34"/>
  <c r="X1381" i="34"/>
  <c r="X448" i="34"/>
  <c r="X365" i="34"/>
  <c r="X360" i="34"/>
  <c r="X496" i="34"/>
  <c r="X40" i="34"/>
  <c r="X32" i="34"/>
  <c r="X37" i="34"/>
  <c r="X59" i="34"/>
  <c r="X39" i="34"/>
  <c r="X56" i="34"/>
  <c r="X30" i="34"/>
  <c r="X54" i="34"/>
  <c r="X43" i="34"/>
  <c r="X33" i="34"/>
  <c r="X1266" i="34"/>
  <c r="X1269" i="34"/>
  <c r="X1264" i="34"/>
  <c r="X1358" i="34"/>
  <c r="X1353" i="34"/>
  <c r="X1335" i="34"/>
  <c r="X1411" i="34"/>
  <c r="X1391" i="34"/>
  <c r="X1355" i="34"/>
  <c r="X1272" i="34"/>
  <c r="X1419" i="34"/>
  <c r="X1302" i="34"/>
  <c r="X1220" i="34"/>
  <c r="X1294" i="34"/>
  <c r="X1229" i="34"/>
  <c r="X1329" i="34"/>
  <c r="X1434" i="34"/>
  <c r="X1315" i="34"/>
  <c r="X1225" i="34"/>
  <c r="X1309" i="34"/>
  <c r="X1222" i="34"/>
  <c r="X1296" i="34"/>
  <c r="X1236" i="34"/>
  <c r="X1383" i="34"/>
  <c r="X1224" i="34"/>
  <c r="X1359" i="34"/>
  <c r="X1250" i="34"/>
  <c r="X1343" i="34"/>
  <c r="X1285" i="34"/>
  <c r="X1352" i="34"/>
  <c r="X1237" i="34"/>
  <c r="X1390" i="34"/>
  <c r="X1299" i="34"/>
  <c r="X1422" i="34"/>
  <c r="X1305" i="34"/>
  <c r="X1336" i="34"/>
  <c r="X1324" i="34"/>
  <c r="X1280" i="34"/>
  <c r="X1104" i="34"/>
  <c r="X1277" i="34"/>
  <c r="X1102" i="34"/>
  <c r="X1212" i="34"/>
  <c r="X958" i="34"/>
  <c r="X908" i="34"/>
  <c r="X723" i="34"/>
  <c r="X1319" i="34"/>
  <c r="X957" i="34"/>
  <c r="X2778" i="34"/>
  <c r="X2780" i="34"/>
  <c r="X2720" i="34"/>
  <c r="X2715" i="34"/>
  <c r="X2607" i="34"/>
  <c r="X2737" i="34"/>
  <c r="X2738" i="34"/>
  <c r="X2640" i="34"/>
  <c r="X2721" i="34"/>
  <c r="X2755" i="34"/>
  <c r="X2777" i="34"/>
  <c r="X2330" i="34"/>
  <c r="X1585" i="34"/>
  <c r="X2187" i="34"/>
  <c r="X974" i="34"/>
  <c r="X1678" i="34"/>
  <c r="X1683" i="34"/>
  <c r="X2102" i="34"/>
  <c r="X1406" i="34"/>
  <c r="X1183" i="34"/>
  <c r="X2183" i="34"/>
  <c r="X1244" i="34"/>
  <c r="X1118" i="34"/>
  <c r="X1684" i="34"/>
  <c r="X1629" i="34"/>
  <c r="X2128" i="34"/>
  <c r="X1171" i="34"/>
  <c r="X2188" i="34"/>
  <c r="X967" i="34"/>
  <c r="X1675" i="34"/>
  <c r="X2048" i="34"/>
  <c r="X2158" i="34"/>
  <c r="X1181" i="34"/>
  <c r="X973" i="34"/>
  <c r="X2103" i="34"/>
  <c r="X1256" i="34"/>
  <c r="X1184" i="34"/>
  <c r="X1120" i="34"/>
  <c r="X2045" i="34"/>
  <c r="X1258" i="34"/>
  <c r="X2460" i="34"/>
  <c r="X1033" i="34"/>
  <c r="X2104" i="34"/>
  <c r="X1257" i="34"/>
  <c r="X1177" i="34"/>
  <c r="X1635" i="34"/>
  <c r="X2024" i="34"/>
  <c r="X1978" i="34"/>
  <c r="X2161" i="34"/>
  <c r="X1172" i="34"/>
  <c r="X1471" i="34"/>
  <c r="X968" i="34"/>
  <c r="X1676" i="34"/>
  <c r="X2101" i="34"/>
  <c r="X1188" i="34"/>
  <c r="X1174" i="34"/>
  <c r="X1976" i="34"/>
  <c r="X582" i="34"/>
  <c r="X1204" i="34"/>
  <c r="X622" i="34"/>
  <c r="X984" i="34"/>
  <c r="X568" i="34"/>
  <c r="X618" i="34"/>
  <c r="X1203" i="34"/>
  <c r="X617" i="34"/>
  <c r="X1035" i="34"/>
  <c r="X593" i="34"/>
  <c r="X482" i="34"/>
  <c r="X1091" i="34"/>
  <c r="X536" i="34"/>
  <c r="X167" i="34"/>
  <c r="X499" i="34"/>
  <c r="X1089" i="34"/>
  <c r="X517" i="34"/>
  <c r="X808" i="34"/>
  <c r="X590" i="34"/>
  <c r="X954" i="34"/>
  <c r="X508" i="34"/>
  <c r="X807" i="34"/>
  <c r="X1047" i="34"/>
  <c r="X583" i="34"/>
  <c r="X953" i="34"/>
  <c r="X151" i="34"/>
  <c r="X627" i="34"/>
  <c r="X815" i="34"/>
  <c r="X1127" i="34"/>
  <c r="X861" i="34"/>
  <c r="X551" i="34"/>
  <c r="X628" i="34"/>
  <c r="X1002" i="34"/>
  <c r="X1050" i="34"/>
  <c r="X591" i="34"/>
  <c r="X602" i="34"/>
  <c r="X507" i="34"/>
  <c r="X624" i="34"/>
  <c r="X960" i="34"/>
  <c r="X2035" i="34"/>
  <c r="X3210" i="34"/>
  <c r="X2606" i="34"/>
  <c r="X2919" i="34"/>
  <c r="X3095" i="34"/>
  <c r="X3245" i="34"/>
  <c r="X3277" i="34"/>
  <c r="X2999" i="34"/>
  <c r="X2600" i="34"/>
  <c r="X2854" i="34"/>
  <c r="X2716" i="34"/>
  <c r="X3119" i="34"/>
  <c r="X3151" i="34"/>
  <c r="X3037" i="34"/>
  <c r="X3069" i="34"/>
  <c r="X2601" i="34"/>
  <c r="X2835" i="34"/>
  <c r="X2717" i="34"/>
  <c r="X2543" i="34"/>
  <c r="X3126" i="34"/>
  <c r="X3186" i="34"/>
  <c r="X3056" i="34"/>
  <c r="X3170" i="34"/>
  <c r="X3212" i="34"/>
  <c r="X3008" i="34"/>
  <c r="X2870" i="34"/>
  <c r="X2531" i="34"/>
  <c r="X2517" i="34"/>
  <c r="X3108" i="34"/>
  <c r="X3254" i="34"/>
  <c r="X2998" i="34"/>
  <c r="X2812" i="34"/>
  <c r="X2512" i="34"/>
  <c r="X3099" i="34"/>
  <c r="X3249" i="34"/>
  <c r="X3281" i="34"/>
  <c r="X3003" i="34"/>
  <c r="X2792" i="34"/>
  <c r="X2858" i="34"/>
  <c r="X2746" i="34"/>
  <c r="X2542" i="34"/>
  <c r="X3131" i="34"/>
  <c r="X3287" i="34"/>
  <c r="X3057" i="34"/>
  <c r="X2793" i="34"/>
  <c r="X2972" i="34"/>
  <c r="X2739" i="34"/>
  <c r="X3122" i="34"/>
  <c r="X3190" i="34"/>
  <c r="X3365" i="34"/>
  <c r="X3068" i="34"/>
  <c r="X3232" i="34"/>
  <c r="X3080" i="34"/>
  <c r="X3304" i="34"/>
  <c r="X2469" i="34"/>
  <c r="X3204" i="34"/>
  <c r="X3112" i="34"/>
  <c r="X3274" i="34"/>
  <c r="X3171" i="34"/>
  <c r="X3215" i="34"/>
  <c r="X3011" i="34"/>
  <c r="X2604" i="34"/>
  <c r="X2722" i="34"/>
  <c r="X3097" i="34"/>
  <c r="X3255" i="34"/>
  <c r="X3091" i="34"/>
  <c r="X2868" i="34"/>
  <c r="X2860" i="34"/>
  <c r="X2748" i="34"/>
  <c r="X2572" i="34"/>
  <c r="X3121" i="34"/>
  <c r="X3189" i="34"/>
  <c r="X2869" i="34"/>
  <c r="X2861" i="34"/>
  <c r="X2589" i="34"/>
  <c r="X3318" i="34"/>
  <c r="X3140" i="34"/>
  <c r="X3288" i="34"/>
  <c r="X3054" i="34"/>
  <c r="X3238" i="34"/>
  <c r="X3178" i="34"/>
  <c r="X3010" i="34"/>
  <c r="X2801" i="34"/>
  <c r="X2533" i="34"/>
  <c r="X3198" i="34"/>
  <c r="X3114" i="34"/>
  <c r="X3227" i="34"/>
  <c r="X3075" i="34"/>
  <c r="X2989" i="34"/>
  <c r="X2921" i="34"/>
  <c r="X3159" i="34"/>
  <c r="X3109" i="34"/>
  <c r="X3267" i="34"/>
  <c r="X3363" i="34"/>
  <c r="X3311" i="34"/>
  <c r="X2660" i="34"/>
  <c r="X2973" i="34"/>
  <c r="X2832" i="34"/>
  <c r="X2576" i="34"/>
  <c r="X3125" i="34"/>
  <c r="X3185" i="34"/>
  <c r="X3002" i="34"/>
  <c r="X2865" i="34"/>
  <c r="X2597" i="34"/>
  <c r="X2857" i="34"/>
  <c r="X2751" i="34"/>
  <c r="X2541" i="34"/>
  <c r="X3136" i="34"/>
  <c r="X3006" i="34"/>
  <c r="X3050" i="34"/>
  <c r="X3164" i="34"/>
  <c r="X3226" i="34"/>
  <c r="X3074" i="34"/>
  <c r="X2525" i="34"/>
  <c r="X3202" i="34"/>
  <c r="X3244" i="34"/>
  <c r="X3276" i="34"/>
  <c r="X3014" i="34"/>
  <c r="X3299" i="34"/>
  <c r="X3051" i="34"/>
  <c r="X3169" i="34"/>
  <c r="X3217" i="34"/>
  <c r="X3023" i="34"/>
  <c r="X3256" i="34"/>
  <c r="X2992" i="34"/>
  <c r="X3296" i="34"/>
  <c r="X3039" i="34"/>
  <c r="X3071" i="34"/>
  <c r="X3229" i="34"/>
  <c r="X3077" i="34"/>
  <c r="X2351" i="34"/>
  <c r="X2389" i="34"/>
  <c r="X2418" i="34"/>
  <c r="X2383" i="34"/>
  <c r="X2387" i="34"/>
  <c r="X2352" i="34"/>
  <c r="X2899" i="34"/>
  <c r="X2279" i="34"/>
  <c r="X2776" i="34"/>
  <c r="X2490" i="34"/>
  <c r="X2375" i="34"/>
  <c r="X2510" i="34"/>
  <c r="X2329" i="34"/>
  <c r="X2253" i="34"/>
  <c r="X2355" i="34"/>
  <c r="X1395" i="34"/>
  <c r="X2155" i="34"/>
  <c r="X2634" i="34"/>
  <c r="X2227" i="34"/>
  <c r="X2173" i="34"/>
  <c r="X2477" i="34"/>
  <c r="X2370" i="34"/>
  <c r="X2248" i="34"/>
  <c r="X2150" i="34"/>
  <c r="X2459" i="34"/>
  <c r="X2621" i="34"/>
  <c r="X2402" i="34"/>
  <c r="X2906" i="34"/>
  <c r="X2447" i="34"/>
  <c r="X2268" i="34"/>
  <c r="X1370" i="34"/>
  <c r="X2126" i="34"/>
  <c r="X2428" i="34"/>
  <c r="X2244" i="34"/>
  <c r="X2662" i="34"/>
  <c r="X2935" i="34"/>
  <c r="X1373" i="34"/>
  <c r="X2686" i="34"/>
  <c r="X2478" i="34"/>
  <c r="X2371" i="34"/>
  <c r="X2556" i="34"/>
  <c r="X2454" i="34"/>
  <c r="X2249" i="34"/>
  <c r="X2311" i="34"/>
  <c r="X1993" i="34"/>
  <c r="X2768" i="34"/>
  <c r="X2397" i="34"/>
  <c r="X2281" i="34"/>
  <c r="X2121" i="34"/>
  <c r="X2681" i="34"/>
  <c r="X2491" i="34"/>
  <c r="X1077" i="34"/>
  <c r="X2689" i="34"/>
  <c r="X2547" i="34"/>
  <c r="X2425" i="34"/>
  <c r="X2437" i="34"/>
  <c r="X2493" i="34"/>
  <c r="X2420" i="34"/>
  <c r="X1942" i="34"/>
  <c r="X2174" i="34"/>
  <c r="X2445" i="34"/>
  <c r="X2346" i="34"/>
  <c r="X2571" i="34"/>
  <c r="X2907" i="34"/>
  <c r="X2636" i="34"/>
  <c r="X2405" i="34"/>
  <c r="X2903" i="34"/>
  <c r="X2502" i="34"/>
  <c r="X2283" i="34"/>
  <c r="X2273" i="34"/>
  <c r="X2119" i="34"/>
  <c r="X2824" i="34"/>
  <c r="X2905" i="34"/>
  <c r="X2684" i="34"/>
  <c r="X2476" i="34"/>
  <c r="X2442" i="34"/>
  <c r="X2444" i="34"/>
  <c r="X2463" i="34"/>
  <c r="X2326" i="34"/>
  <c r="X2557" i="34"/>
  <c r="X2348" i="34"/>
  <c r="X2246" i="34"/>
  <c r="X2304" i="34"/>
  <c r="X1235" i="34"/>
  <c r="X1990" i="34"/>
  <c r="X2473" i="34"/>
  <c r="X2306" i="34"/>
  <c r="X2659" i="34"/>
  <c r="X2908" i="34"/>
  <c r="X2627" i="34"/>
  <c r="X2431" i="34"/>
  <c r="X2830" i="34"/>
  <c r="X2622" i="34"/>
  <c r="X2434" i="34"/>
  <c r="X2953" i="34"/>
  <c r="X2287" i="34"/>
  <c r="X1371" i="34"/>
  <c r="X2123" i="34"/>
  <c r="X2458" i="34"/>
  <c r="X2500" i="34"/>
  <c r="X2125" i="34"/>
  <c r="X2969" i="34"/>
  <c r="X2367" i="34"/>
  <c r="X2373" i="34"/>
  <c r="X2725" i="34"/>
  <c r="X2487" i="34"/>
  <c r="X2426" i="34"/>
  <c r="X2946" i="34"/>
  <c r="X2236" i="34"/>
  <c r="X2258" i="34"/>
  <c r="X2364" i="34"/>
  <c r="X2066" i="34"/>
  <c r="X2489" i="34"/>
  <c r="X2944" i="34"/>
  <c r="X2453" i="34"/>
  <c r="X2358" i="34"/>
  <c r="X2675" i="34"/>
  <c r="X2831" i="34"/>
  <c r="X2637" i="34"/>
  <c r="X2609" i="34"/>
  <c r="X2507" i="34"/>
  <c r="X2226" i="34"/>
  <c r="X1165" i="34"/>
  <c r="X1663" i="34"/>
  <c r="X2202" i="34"/>
  <c r="X1967" i="34"/>
  <c r="X2562" i="34"/>
  <c r="X2345" i="34"/>
  <c r="X2297" i="34"/>
  <c r="X2365" i="34"/>
  <c r="X1991" i="34"/>
  <c r="X1970" i="34"/>
  <c r="X2930" i="34"/>
  <c r="X2280" i="34"/>
  <c r="X2266" i="34"/>
  <c r="X2124" i="34"/>
  <c r="X1963" i="34"/>
  <c r="X2223" i="34"/>
  <c r="X2341" i="34"/>
  <c r="X2301" i="34"/>
  <c r="X1076" i="34"/>
  <c r="X2067" i="34"/>
  <c r="X3339" i="34"/>
  <c r="X2977" i="34"/>
  <c r="X2806" i="34"/>
  <c r="X1341" i="34"/>
  <c r="X2077" i="34"/>
  <c r="X1080" i="34"/>
  <c r="X1208" i="34"/>
  <c r="X684" i="34"/>
  <c r="X742" i="34"/>
  <c r="X898" i="34"/>
  <c r="X1656" i="34"/>
  <c r="X2043" i="34"/>
  <c r="X1542" i="34"/>
  <c r="X990" i="34"/>
  <c r="X1146" i="34"/>
  <c r="X66" i="34"/>
  <c r="X736" i="34"/>
  <c r="X2939" i="34"/>
  <c r="X2770" i="34"/>
  <c r="X2171" i="34"/>
  <c r="X1948" i="34"/>
  <c r="X2075" i="34"/>
  <c r="X1260" i="34"/>
  <c r="X1108" i="34"/>
  <c r="X1210" i="34"/>
  <c r="X660" i="34"/>
  <c r="X744" i="34"/>
  <c r="X2756" i="34"/>
  <c r="X2879" i="34"/>
  <c r="X2693" i="34"/>
  <c r="X1655" i="34"/>
  <c r="X2088" i="34"/>
  <c r="X1595" i="34"/>
  <c r="X1340" i="34"/>
  <c r="X937" i="34"/>
  <c r="X987" i="34"/>
  <c r="X78" i="34"/>
  <c r="X3344" i="34"/>
  <c r="X2880" i="34"/>
  <c r="X2785" i="34"/>
  <c r="X2060" i="34"/>
  <c r="X1199" i="34"/>
  <c r="X2010" i="34"/>
  <c r="X1101" i="34"/>
  <c r="X629" i="34"/>
  <c r="X677" i="34"/>
  <c r="X2928" i="34"/>
  <c r="X2890" i="34"/>
  <c r="X2146" i="34"/>
  <c r="X1073" i="34"/>
  <c r="X2000" i="34"/>
  <c r="X1059" i="34"/>
  <c r="X955" i="34"/>
  <c r="X76" i="34"/>
  <c r="X695" i="34"/>
  <c r="X3354" i="34"/>
  <c r="X2771" i="34"/>
  <c r="X3359" i="34"/>
  <c r="X2199" i="34"/>
  <c r="X2111" i="34"/>
  <c r="X1148" i="34"/>
  <c r="X2073" i="34"/>
  <c r="X1377" i="34"/>
  <c r="X1140" i="34"/>
  <c r="X688" i="34"/>
  <c r="X3323" i="34"/>
  <c r="X2893" i="34"/>
  <c r="X2025" i="34"/>
  <c r="X1940" i="34"/>
  <c r="X2039" i="34"/>
  <c r="X1546" i="34"/>
  <c r="X944" i="34"/>
  <c r="X79" i="34"/>
  <c r="X3349" i="34"/>
  <c r="X2889" i="34"/>
  <c r="X2167" i="34"/>
  <c r="X1228" i="34"/>
  <c r="X2079" i="34"/>
  <c r="X1600" i="34"/>
  <c r="X1112" i="34"/>
  <c r="X656" i="34"/>
  <c r="X706" i="34"/>
  <c r="X3329" i="34"/>
  <c r="X2891" i="34"/>
  <c r="X2757" i="34"/>
  <c r="X2114" i="34"/>
  <c r="X1651" i="34"/>
  <c r="X2140" i="34"/>
  <c r="X2040" i="34"/>
  <c r="X1547" i="34"/>
  <c r="X995" i="34"/>
  <c r="X913" i="34"/>
  <c r="X654" i="34"/>
  <c r="X3348" i="34"/>
  <c r="X2884" i="34"/>
  <c r="X2641" i="34"/>
  <c r="X1699" i="34"/>
  <c r="X1155" i="34"/>
  <c r="X2014" i="34"/>
  <c r="X929" i="34"/>
  <c r="X353" i="34"/>
  <c r="X170" i="34"/>
  <c r="X681" i="34"/>
  <c r="X2924" i="34"/>
  <c r="X2691" i="34"/>
  <c r="X1573" i="34"/>
  <c r="X1069" i="34"/>
  <c r="X2004" i="34"/>
  <c r="X1541" i="34"/>
  <c r="X989" i="34"/>
  <c r="X1057" i="34"/>
  <c r="X3350" i="34"/>
  <c r="X2874" i="34"/>
  <c r="X2198" i="34"/>
  <c r="X2147" i="34"/>
  <c r="X1481" i="34"/>
  <c r="X2037" i="34"/>
  <c r="X1544" i="34"/>
  <c r="X942" i="34"/>
  <c r="X986" i="34"/>
  <c r="X696" i="34"/>
  <c r="X1958" i="34"/>
  <c r="X2110" i="34"/>
  <c r="X1153" i="34"/>
  <c r="X2016" i="34"/>
  <c r="X1259" i="34"/>
  <c r="X1113" i="34"/>
  <c r="X635" i="34"/>
  <c r="X687" i="34"/>
  <c r="X2692" i="34"/>
  <c r="X1658" i="34"/>
  <c r="X1016" i="34"/>
  <c r="X1622" i="34"/>
  <c r="X1363" i="34"/>
  <c r="X938" i="34"/>
  <c r="X1058" i="34"/>
  <c r="X649" i="34"/>
  <c r="X1956" i="34"/>
  <c r="X1953" i="34"/>
  <c r="X2078" i="34"/>
  <c r="X927" i="34"/>
  <c r="X907" i="34"/>
  <c r="X683" i="34"/>
  <c r="X749" i="34"/>
  <c r="X1959" i="34"/>
  <c r="X165" i="34"/>
  <c r="X762" i="34"/>
  <c r="X64" i="34"/>
  <c r="X669" i="34"/>
  <c r="X319" i="34"/>
  <c r="X2071" i="34"/>
  <c r="X866" i="34"/>
  <c r="X130" i="34"/>
  <c r="X778" i="34"/>
  <c r="X301" i="34"/>
  <c r="X283" i="34"/>
  <c r="X840" i="34"/>
  <c r="X99" i="34"/>
  <c r="X786" i="34"/>
  <c r="X140" i="34"/>
  <c r="X428" i="34"/>
  <c r="X2097" i="34"/>
  <c r="X1901" i="34"/>
  <c r="X1987" i="34"/>
  <c r="X2698" i="34"/>
  <c r="X2699" i="34"/>
  <c r="X2694" i="34"/>
  <c r="X2695" i="34"/>
  <c r="X1690" i="34"/>
  <c r="X1693" i="34"/>
  <c r="X1461" i="34"/>
  <c r="X1725" i="34"/>
  <c r="X1443" i="34"/>
  <c r="X1441" i="34"/>
  <c r="X1643" i="34"/>
  <c r="X1430" i="34"/>
  <c r="X1435" i="34"/>
  <c r="X1785" i="34"/>
  <c r="X1911" i="34"/>
  <c r="X1890" i="34"/>
  <c r="X1776" i="34"/>
  <c r="X1912" i="34"/>
  <c r="X1788" i="34"/>
  <c r="X1913" i="34"/>
  <c r="X1791" i="34"/>
  <c r="X1822" i="34"/>
  <c r="X1892" i="34"/>
  <c r="X1717" i="34"/>
  <c r="X1863" i="34"/>
  <c r="X1843" i="34"/>
  <c r="X1866" i="34"/>
  <c r="X1871" i="34"/>
  <c r="X1668" i="34"/>
  <c r="X1891" i="34"/>
  <c r="X1669" i="34"/>
  <c r="X1834" i="34"/>
  <c r="X1880" i="34"/>
  <c r="X1808" i="34"/>
  <c r="X1844" i="34"/>
  <c r="X1798" i="34"/>
  <c r="X1898" i="34"/>
  <c r="X1878" i="34"/>
  <c r="X1905" i="34"/>
  <c r="X1825" i="34"/>
  <c r="X1853" i="34"/>
  <c r="X1881" i="34"/>
  <c r="X1851" i="34"/>
  <c r="X1899" i="34"/>
  <c r="X1858" i="34"/>
  <c r="X1763" i="34"/>
  <c r="X1855" i="34"/>
  <c r="X1768" i="34"/>
  <c r="X1930" i="34"/>
  <c r="X1857" i="34"/>
  <c r="X1926" i="34"/>
  <c r="X1886" i="34"/>
  <c r="X1830" i="34"/>
  <c r="X1931" i="34"/>
  <c r="X1632" i="34"/>
  <c r="X1712" i="34"/>
  <c r="X1688" i="34"/>
  <c r="X1505" i="34"/>
  <c r="X1525" i="34"/>
  <c r="X1582" i="34"/>
  <c r="X1449" i="34"/>
  <c r="X1613" i="34"/>
  <c r="X1820" i="34"/>
  <c r="X1732" i="34"/>
  <c r="X1665" i="34"/>
  <c r="X1724" i="34"/>
  <c r="X1598" i="34"/>
  <c r="X1491" i="34"/>
  <c r="X1444" i="34"/>
  <c r="X1775" i="34"/>
  <c r="X1608" i="34"/>
  <c r="X1819" i="34"/>
  <c r="X1817" i="34"/>
  <c r="X1456" i="34"/>
  <c r="X1903" i="34"/>
  <c r="X1771" i="34"/>
  <c r="X1650" i="34"/>
  <c r="X1392" i="34"/>
  <c r="X1458" i="34"/>
  <c r="X1679" i="34"/>
  <c r="X1455" i="34"/>
  <c r="X1448" i="34"/>
  <c r="X1733" i="34"/>
  <c r="X1496" i="34"/>
  <c r="X1550" i="34"/>
  <c r="X1551" i="34"/>
  <c r="X1493" i="34"/>
  <c r="X1473" i="34"/>
  <c r="X529" i="34"/>
  <c r="X504" i="34"/>
  <c r="X468" i="34"/>
  <c r="X533" i="34"/>
  <c r="X1943" i="34"/>
  <c r="X46" i="34"/>
  <c r="X38" i="34"/>
  <c r="X49" i="34"/>
  <c r="X27" i="34"/>
  <c r="X51" i="34"/>
  <c r="X62" i="34"/>
  <c r="X36" i="34"/>
  <c r="X60" i="34"/>
  <c r="X55" i="34"/>
  <c r="X45" i="34"/>
  <c r="X1262" i="34"/>
  <c r="X1265" i="34"/>
  <c r="X1271" i="34"/>
  <c r="X1412" i="34"/>
  <c r="X1376" i="34"/>
  <c r="X1356" i="34"/>
  <c r="X1312" i="34"/>
  <c r="X1413" i="34"/>
  <c r="X1440" i="34"/>
  <c r="X1226" i="34"/>
  <c r="X1216" i="34"/>
  <c r="X1314" i="34"/>
  <c r="X1218" i="34"/>
  <c r="X1316" i="34"/>
  <c r="X1251" i="34"/>
  <c r="X1382" i="34"/>
  <c r="X1408" i="34"/>
  <c r="X1428" i="34"/>
  <c r="X1239" i="34"/>
  <c r="X1351" i="34"/>
  <c r="X1240" i="34"/>
  <c r="X1306" i="34"/>
  <c r="X1248" i="34"/>
  <c r="X1385" i="34"/>
  <c r="X1304" i="34"/>
  <c r="X1387" i="34"/>
  <c r="X1284" i="34"/>
  <c r="X1366" i="34"/>
  <c r="X1301" i="34"/>
  <c r="X1424" i="34"/>
  <c r="X1293" i="34"/>
  <c r="X1416" i="34"/>
  <c r="X1350" i="34"/>
  <c r="X1221" i="34"/>
  <c r="X1361" i="34"/>
  <c r="X1321" i="34"/>
  <c r="X1362" i="34"/>
  <c r="X1279" i="34"/>
  <c r="X1066" i="34"/>
  <c r="X1103" i="34"/>
  <c r="X1139" i="34"/>
  <c r="X1213" i="34"/>
  <c r="X724" i="34"/>
  <c r="X1326" i="34"/>
  <c r="X1325" i="34"/>
  <c r="X946" i="34"/>
  <c r="X1328" i="34"/>
  <c r="X2796" i="34"/>
  <c r="X2666" i="34"/>
  <c r="X2784" i="34"/>
  <c r="X2797" i="34"/>
  <c r="X2629" i="34"/>
  <c r="X2813" i="34"/>
  <c r="X2814" i="34"/>
  <c r="X2820" i="34"/>
  <c r="X2779" i="34"/>
  <c r="X2773" i="34"/>
  <c r="X2821" i="34"/>
  <c r="X877" i="34"/>
  <c r="X2332" i="34"/>
  <c r="X1636" i="34"/>
  <c r="X1032" i="34"/>
  <c r="X1758" i="34"/>
  <c r="X1757" i="34"/>
  <c r="X2132" i="34"/>
  <c r="X1565" i="34"/>
  <c r="X2184" i="34"/>
  <c r="X1648" i="34"/>
  <c r="X1479" i="34"/>
  <c r="X3243" i="34"/>
  <c r="X1762" i="34"/>
  <c r="X1761" i="34"/>
  <c r="X2136" i="34"/>
  <c r="X1179" i="34"/>
  <c r="X1470" i="34"/>
  <c r="X1029" i="34"/>
  <c r="X1681" i="34"/>
  <c r="X2100" i="34"/>
  <c r="X1253" i="34"/>
  <c r="X2186" i="34"/>
  <c r="X1027" i="34"/>
  <c r="X2129" i="34"/>
  <c r="X1566" i="34"/>
  <c r="X2023" i="34"/>
  <c r="X148" i="34"/>
  <c r="X2105" i="34"/>
  <c r="X1628" i="34"/>
  <c r="X1245" i="34"/>
  <c r="X1123" i="34"/>
  <c r="X2134" i="34"/>
  <c r="X1512" i="34"/>
  <c r="X1185" i="34"/>
  <c r="X2086" i="34"/>
  <c r="X969" i="34"/>
  <c r="X2099" i="34"/>
  <c r="X1186" i="34"/>
  <c r="X1180" i="34"/>
  <c r="X2177" i="34"/>
  <c r="X1026" i="34"/>
  <c r="X1756" i="34"/>
  <c r="X2109" i="34"/>
  <c r="X1254" i="34"/>
  <c r="X1182" i="34"/>
  <c r="X592" i="34"/>
  <c r="X550" i="34"/>
  <c r="X513" i="34"/>
  <c r="X626" i="34"/>
  <c r="X1040" i="34"/>
  <c r="X576" i="34"/>
  <c r="X982" i="34"/>
  <c r="X149" i="34"/>
  <c r="X625" i="34"/>
  <c r="X1043" i="34"/>
  <c r="X561" i="34"/>
  <c r="X559" i="34"/>
  <c r="X597" i="34"/>
  <c r="X615" i="34"/>
  <c r="X570" i="34"/>
  <c r="X620" i="34"/>
  <c r="X600" i="34"/>
  <c r="X535" i="34"/>
  <c r="X1036" i="34"/>
  <c r="X572" i="34"/>
  <c r="X1008" i="34"/>
  <c r="X520" i="34"/>
  <c r="X817" i="34"/>
  <c r="X891" i="34"/>
  <c r="X589" i="34"/>
  <c r="X601" i="34"/>
  <c r="X506" i="34"/>
  <c r="X633" i="34"/>
  <c r="X1037" i="34"/>
  <c r="X573" i="34"/>
  <c r="X619" i="34"/>
  <c r="X515" i="34"/>
  <c r="X714" i="34"/>
  <c r="X1004" i="34"/>
  <c r="X1041" i="34"/>
  <c r="X569" i="34"/>
  <c r="X555" i="34"/>
  <c r="X519" i="34"/>
  <c r="X634" i="34"/>
  <c r="X1038" i="34"/>
  <c r="X3211" i="34"/>
  <c r="X2592" i="34"/>
  <c r="X2590" i="34"/>
  <c r="X2724" i="34"/>
  <c r="X3103" i="34"/>
  <c r="X3253" i="34"/>
  <c r="X2997" i="34"/>
  <c r="X3309" i="34"/>
  <c r="X2594" i="34"/>
  <c r="X2846" i="34"/>
  <c r="X2582" i="34"/>
  <c r="X3127" i="34"/>
  <c r="X3187" i="34"/>
  <c r="X3045" i="34"/>
  <c r="X3163" i="34"/>
  <c r="X2859" i="34"/>
  <c r="X2753" i="34"/>
  <c r="X2587" i="34"/>
  <c r="X3312" i="34"/>
  <c r="X3134" i="34"/>
  <c r="X3194" i="34"/>
  <c r="X3064" i="34"/>
  <c r="X3236" i="34"/>
  <c r="X3176" i="34"/>
  <c r="X2986" i="34"/>
  <c r="X2647" i="34"/>
  <c r="X2918" i="34"/>
  <c r="X2511" i="34"/>
  <c r="X3116" i="34"/>
  <c r="X3262" i="34"/>
  <c r="X3208" i="34"/>
  <c r="X2532" i="34"/>
  <c r="X2530" i="34"/>
  <c r="X3107" i="34"/>
  <c r="X3257" i="34"/>
  <c r="X3015" i="34"/>
  <c r="X3295" i="34"/>
  <c r="X2536" i="34"/>
  <c r="X2850" i="34"/>
  <c r="X2762" i="34"/>
  <c r="X3313" i="34"/>
  <c r="X3139" i="34"/>
  <c r="X3029" i="34"/>
  <c r="X3065" i="34"/>
  <c r="X2537" i="34"/>
  <c r="X2855" i="34"/>
  <c r="X2583" i="34"/>
  <c r="X3130" i="34"/>
  <c r="X3286" i="34"/>
  <c r="X3044" i="34"/>
  <c r="X3166" i="34"/>
  <c r="X3224" i="34"/>
  <c r="X3072" i="34"/>
  <c r="X2815" i="34"/>
  <c r="X2723" i="34"/>
  <c r="X3322" i="34"/>
  <c r="X3250" i="34"/>
  <c r="X3282" i="34"/>
  <c r="X3239" i="34"/>
  <c r="X3179" i="34"/>
  <c r="X2985" i="34"/>
  <c r="X2534" i="34"/>
  <c r="X2516" i="34"/>
  <c r="X3105" i="34"/>
  <c r="X3263" i="34"/>
  <c r="X3005" i="34"/>
  <c r="X2652" i="34"/>
  <c r="X2852" i="34"/>
  <c r="X2764" i="34"/>
  <c r="X2544" i="34"/>
  <c r="X3129" i="34"/>
  <c r="X3088" i="34"/>
  <c r="X2789" i="34"/>
  <c r="X2853" i="34"/>
  <c r="X2581" i="34"/>
  <c r="X3036" i="34"/>
  <c r="X3148" i="34"/>
  <c r="X3242" i="34"/>
  <c r="X3062" i="34"/>
  <c r="X3230" i="34"/>
  <c r="X3078" i="34"/>
  <c r="X2988" i="34"/>
  <c r="X2799" i="34"/>
  <c r="X2920" i="34"/>
  <c r="X3206" i="34"/>
  <c r="X3156" i="34"/>
  <c r="X3219" i="34"/>
  <c r="X3025" i="34"/>
  <c r="X2654" i="34"/>
  <c r="X2766" i="34"/>
  <c r="X3201" i="34"/>
  <c r="X3117" i="34"/>
  <c r="X3275" i="34"/>
  <c r="X3087" i="34"/>
  <c r="X3293" i="34"/>
  <c r="X2794" i="34"/>
  <c r="X2856" i="34"/>
  <c r="X2740" i="34"/>
  <c r="X2540" i="34"/>
  <c r="X3133" i="34"/>
  <c r="X3092" i="34"/>
  <c r="X3308" i="34"/>
  <c r="X2661" i="34"/>
  <c r="X2505" i="34"/>
  <c r="X2849" i="34"/>
  <c r="X2741" i="34"/>
  <c r="X3314" i="34"/>
  <c r="X3144" i="34"/>
  <c r="X3026" i="34"/>
  <c r="X3058" i="34"/>
  <c r="X3172" i="34"/>
  <c r="X3218" i="34"/>
  <c r="X3020" i="34"/>
  <c r="X2916" i="34"/>
  <c r="X3094" i="34"/>
  <c r="X3252" i="34"/>
  <c r="X2996" i="34"/>
  <c r="X3000" i="34"/>
  <c r="X3013" i="34"/>
  <c r="X3059" i="34"/>
  <c r="X3035" i="34"/>
  <c r="X3181" i="34"/>
  <c r="X2987" i="34"/>
  <c r="X3264" i="34"/>
  <c r="X3086" i="34"/>
  <c r="X3285" i="34"/>
  <c r="X3047" i="34"/>
  <c r="X3165" i="34"/>
  <c r="X3221" i="34"/>
  <c r="X3019" i="34"/>
  <c r="X2393" i="34"/>
  <c r="X2390" i="34"/>
  <c r="X2416" i="34"/>
  <c r="X2415" i="34"/>
  <c r="X2414" i="34"/>
  <c r="X2950" i="34"/>
  <c r="X2955" i="34"/>
  <c r="X1166" i="34"/>
  <c r="X2462" i="34"/>
  <c r="X2429" i="34"/>
  <c r="X2492" i="34"/>
  <c r="X2560" i="34"/>
  <c r="X2343" i="34"/>
  <c r="X2295" i="34"/>
  <c r="X2363" i="34"/>
  <c r="X1475" i="34"/>
  <c r="X2676" i="34"/>
  <c r="X2931" i="34"/>
  <c r="X2263" i="34"/>
  <c r="X2664" i="34"/>
  <c r="X2368" i="34"/>
  <c r="X2555" i="34"/>
  <c r="X2362" i="34"/>
  <c r="X2673" i="34"/>
  <c r="X2910" i="34"/>
  <c r="X2635" i="34"/>
  <c r="X2408" i="34"/>
  <c r="X2932" i="34"/>
  <c r="X2282" i="34"/>
  <c r="X2276" i="34"/>
  <c r="X1661" i="34"/>
  <c r="X2208" i="34"/>
  <c r="X2320" i="34"/>
  <c r="X2270" i="34"/>
  <c r="X2744" i="34"/>
  <c r="X2496" i="34"/>
  <c r="X1702" i="34"/>
  <c r="X2728" i="34"/>
  <c r="X2486" i="34"/>
  <c r="X2379" i="34"/>
  <c r="X2564" i="34"/>
  <c r="X2339" i="34"/>
  <c r="X2257" i="34"/>
  <c r="X2359" i="34"/>
  <c r="X2065" i="34"/>
  <c r="X2828" i="34"/>
  <c r="X2411" i="34"/>
  <c r="X1160" i="34"/>
  <c r="X2207" i="34"/>
  <c r="X2970" i="34"/>
  <c r="X2342" i="34"/>
  <c r="X1992" i="34"/>
  <c r="X2749" i="34"/>
  <c r="X2617" i="34"/>
  <c r="X2234" i="34"/>
  <c r="X2936" i="34"/>
  <c r="X2501" i="34"/>
  <c r="X2264" i="34"/>
  <c r="X1703" i="34"/>
  <c r="X2204" i="34"/>
  <c r="X2948" i="34"/>
  <c r="X2302" i="34"/>
  <c r="X2758" i="34"/>
  <c r="X2552" i="34"/>
  <c r="X2395" i="34"/>
  <c r="X2413" i="34"/>
  <c r="X2933" i="34"/>
  <c r="X2949" i="34"/>
  <c r="X2291" i="34"/>
  <c r="X1164" i="34"/>
  <c r="X2127" i="34"/>
  <c r="X2620" i="34"/>
  <c r="X2959" i="34"/>
  <c r="X2726" i="34"/>
  <c r="X2484" i="34"/>
  <c r="X2319" i="34"/>
  <c r="X2679" i="34"/>
  <c r="X2475" i="34"/>
  <c r="X2372" i="34"/>
  <c r="X2228" i="34"/>
  <c r="X2441" i="34"/>
  <c r="X2254" i="34"/>
  <c r="X2312" i="34"/>
  <c r="X1396" i="34"/>
  <c r="X2062" i="34"/>
  <c r="X2230" i="34"/>
  <c r="X1085" i="34"/>
  <c r="X2671" i="34"/>
  <c r="X2549" i="34"/>
  <c r="X2633" i="34"/>
  <c r="X2898" i="34"/>
  <c r="X2911" i="34"/>
  <c r="X2399" i="34"/>
  <c r="X2897" i="34"/>
  <c r="X2961" i="34"/>
  <c r="X2269" i="34"/>
  <c r="X1467" i="34"/>
  <c r="X2175" i="34"/>
  <c r="X2550" i="34"/>
  <c r="X2231" i="34"/>
  <c r="X2203" i="34"/>
  <c r="X2468" i="34"/>
  <c r="X2427" i="34"/>
  <c r="X2381" i="34"/>
  <c r="X2968" i="34"/>
  <c r="X2513" i="34"/>
  <c r="X2322" i="34"/>
  <c r="X2553" i="34"/>
  <c r="X2455" i="34"/>
  <c r="X2296" i="34"/>
  <c r="X1083" i="34"/>
  <c r="X2156" i="34"/>
  <c r="X2443" i="34"/>
  <c r="X2509" i="34"/>
  <c r="X2338" i="34"/>
  <c r="X1398" i="34"/>
  <c r="X2687" i="34"/>
  <c r="X2912" i="34"/>
  <c r="X2396" i="34"/>
  <c r="X2934" i="34"/>
  <c r="X2449" i="34"/>
  <c r="X2262" i="34"/>
  <c r="X1241" i="34"/>
  <c r="X1673" i="34"/>
  <c r="X2210" i="34"/>
  <c r="X2947" i="34"/>
  <c r="X2951" i="34"/>
  <c r="X2243" i="34"/>
  <c r="X2233" i="34"/>
  <c r="X1084" i="34"/>
  <c r="X2063" i="34"/>
  <c r="X1964" i="34"/>
  <c r="X2954" i="34"/>
  <c r="X2288" i="34"/>
  <c r="X2274" i="34"/>
  <c r="X2206" i="34"/>
  <c r="X1971" i="34"/>
  <c r="X2229" i="34"/>
  <c r="X2261" i="34"/>
  <c r="X2305" i="34"/>
  <c r="X1232" i="34"/>
  <c r="X2153" i="34"/>
  <c r="X3347" i="34"/>
  <c r="X2941" i="34"/>
  <c r="X2195" i="34"/>
  <c r="X1939" i="34"/>
  <c r="X2015" i="34"/>
  <c r="X1114" i="34"/>
  <c r="X636" i="34"/>
  <c r="X692" i="34"/>
  <c r="X2923" i="34"/>
  <c r="X2690" i="34"/>
  <c r="X1367" i="34"/>
  <c r="X2001" i="34"/>
  <c r="X1365" i="34"/>
  <c r="X940" i="34"/>
  <c r="X914" i="34"/>
  <c r="X75" i="34"/>
  <c r="X3345" i="34"/>
  <c r="X2877" i="34"/>
  <c r="X2786" i="34"/>
  <c r="X2053" i="34"/>
  <c r="X1156" i="34"/>
  <c r="X2013" i="34"/>
  <c r="X1100" i="34"/>
  <c r="X1116" i="34"/>
  <c r="X72" i="34"/>
  <c r="X678" i="34"/>
  <c r="X3325" i="34"/>
  <c r="X2895" i="34"/>
  <c r="X2922" i="34"/>
  <c r="X2118" i="34"/>
  <c r="X1685" i="34"/>
  <c r="X2036" i="34"/>
  <c r="X1561" i="34"/>
  <c r="X1131" i="34"/>
  <c r="X1145" i="34"/>
  <c r="X1013" i="34"/>
  <c r="X84" i="34"/>
  <c r="X3352" i="34"/>
  <c r="X2888" i="34"/>
  <c r="X2200" i="34"/>
  <c r="X1227" i="34"/>
  <c r="X1001" i="34"/>
  <c r="X1747" i="34"/>
  <c r="X925" i="34"/>
  <c r="X641" i="34"/>
  <c r="X685" i="34"/>
  <c r="X3324" i="34"/>
  <c r="X899" i="34"/>
  <c r="X1653" i="34"/>
  <c r="X1015" i="34"/>
  <c r="X1563" i="34"/>
  <c r="X993" i="34"/>
  <c r="X985" i="34"/>
  <c r="X82" i="34"/>
  <c r="X737" i="34"/>
  <c r="X2976" i="34"/>
  <c r="X897" i="34"/>
  <c r="X2981" i="34"/>
  <c r="X1018" i="34"/>
  <c r="X1698" i="34"/>
  <c r="X1190" i="34"/>
  <c r="X2011" i="34"/>
  <c r="X926" i="34"/>
  <c r="X606" i="34"/>
  <c r="X712" i="34"/>
  <c r="X3331" i="34"/>
  <c r="X2710" i="34"/>
  <c r="X1652" i="34"/>
  <c r="X1072" i="34"/>
  <c r="X2005" i="34"/>
  <c r="X1138" i="34"/>
  <c r="X1142" i="34"/>
  <c r="X694" i="34"/>
  <c r="X3357" i="34"/>
  <c r="X2804" i="34"/>
  <c r="X2057" i="34"/>
  <c r="X1152" i="34"/>
  <c r="X2017" i="34"/>
  <c r="X1096" i="34"/>
  <c r="X364" i="34"/>
  <c r="X664" i="34"/>
  <c r="X718" i="34"/>
  <c r="X3337" i="34"/>
  <c r="X3330" i="34"/>
  <c r="X2892" i="34"/>
  <c r="X2148" i="34"/>
  <c r="X1378" i="34"/>
  <c r="X1067" i="34"/>
  <c r="X2002" i="34"/>
  <c r="X1135" i="34"/>
  <c r="X979" i="34"/>
  <c r="X69" i="34"/>
  <c r="X662" i="34"/>
  <c r="X3356" i="34"/>
  <c r="X2643" i="34"/>
  <c r="X2170" i="34"/>
  <c r="X1947" i="34"/>
  <c r="X1195" i="34"/>
  <c r="X1743" i="34"/>
  <c r="X921" i="34"/>
  <c r="X363" i="34"/>
  <c r="X637" i="34"/>
  <c r="X689" i="34"/>
  <c r="X3328" i="34"/>
  <c r="X2116" i="34"/>
  <c r="X1657" i="34"/>
  <c r="X903" i="34"/>
  <c r="X1593" i="34"/>
  <c r="X1364" i="34"/>
  <c r="X943" i="34"/>
  <c r="X67" i="34"/>
  <c r="X3358" i="34"/>
  <c r="X2882" i="34"/>
  <c r="X1017" i="34"/>
  <c r="X2191" i="34"/>
  <c r="X1074" i="34"/>
  <c r="X2003" i="34"/>
  <c r="X1136" i="34"/>
  <c r="X1128" i="34"/>
  <c r="X1054" i="34"/>
  <c r="X734" i="34"/>
  <c r="X1021" i="34"/>
  <c r="X1697" i="34"/>
  <c r="X1193" i="34"/>
  <c r="X2008" i="34"/>
  <c r="X1099" i="34"/>
  <c r="X1161" i="34"/>
  <c r="X657" i="34"/>
  <c r="X711" i="34"/>
  <c r="X1902" i="34"/>
  <c r="X1986" i="34"/>
  <c r="X2706" i="34"/>
  <c r="X2707" i="34"/>
  <c r="X2702" i="34"/>
  <c r="X2703" i="34"/>
  <c r="X1462" i="34"/>
  <c r="X1486" i="34"/>
  <c r="X1726" i="34"/>
  <c r="X1429" i="34"/>
  <c r="X1431" i="34"/>
  <c r="X1646" i="34"/>
  <c r="X1402" i="34"/>
  <c r="X1400" i="34"/>
  <c r="X1644" i="34"/>
  <c r="X1824" i="34"/>
  <c r="X1790" i="34"/>
  <c r="X1883" i="34"/>
  <c r="X1831" i="34"/>
  <c r="X1921" i="34"/>
  <c r="X1867" i="34"/>
  <c r="X1909" i="34"/>
  <c r="X1799" i="34"/>
  <c r="X1869" i="34"/>
  <c r="X1919" i="34"/>
  <c r="X1865" i="34"/>
  <c r="X1463" i="34"/>
  <c r="X1847" i="34"/>
  <c r="X1910" i="34"/>
  <c r="X1893" i="34"/>
  <c r="X1714" i="34"/>
  <c r="X1914" i="34"/>
  <c r="X1787" i="34"/>
  <c r="X1846" i="34"/>
  <c r="X1935" i="34"/>
  <c r="X1816" i="34"/>
  <c r="X1876" i="34"/>
  <c r="X1814" i="34"/>
  <c r="X1852" i="34"/>
  <c r="X1780" i="34"/>
  <c r="X1889" i="34"/>
  <c r="X1811" i="34"/>
  <c r="X1835" i="34"/>
  <c r="X1805" i="34"/>
  <c r="X1859" i="34"/>
  <c r="X1879" i="34"/>
  <c r="X1794" i="34"/>
  <c r="X1779" i="34"/>
  <c r="X1837" i="34"/>
  <c r="X1826" i="34"/>
  <c r="X1933" i="34"/>
  <c r="X1925" i="34"/>
  <c r="X1875" i="34"/>
  <c r="X1900" i="34"/>
  <c r="X1896" i="34"/>
  <c r="X1894" i="34"/>
  <c r="X1695" i="34"/>
  <c r="X1667" i="34"/>
  <c r="X1634" i="34"/>
  <c r="X1459" i="34"/>
  <c r="X1492" i="34"/>
  <c r="X1588" i="34"/>
  <c r="X1457" i="34"/>
  <c r="X1607" i="34"/>
  <c r="X1497" i="34"/>
  <c r="X1774" i="34"/>
  <c r="X1706" i="34"/>
  <c r="X1511" i="34"/>
  <c r="X1490" i="34"/>
  <c r="X1612" i="34"/>
  <c r="X1498" i="34"/>
  <c r="X1466" i="34"/>
  <c r="X1446" i="34"/>
  <c r="X1528" i="34"/>
  <c r="X1450" i="34"/>
  <c r="X1709" i="34"/>
  <c r="X1711" i="34"/>
  <c r="X1454" i="34"/>
  <c r="X1796" i="34"/>
  <c r="X1818" i="34"/>
  <c r="X1567" i="34"/>
  <c r="X1570" i="34"/>
  <c r="X1518" i="34"/>
  <c r="X1460" i="34"/>
  <c r="X1581" i="34"/>
  <c r="X1737" i="34"/>
  <c r="X1569" i="34"/>
  <c r="X1704" i="34"/>
  <c r="X1503" i="34"/>
  <c r="X1821" i="34"/>
  <c r="X863" i="34"/>
  <c r="X526" i="34"/>
  <c r="X1289" i="34"/>
  <c r="X355" i="34"/>
  <c r="X1944" i="34"/>
  <c r="X52" i="34"/>
  <c r="X28" i="34"/>
  <c r="X61" i="34"/>
  <c r="X41" i="34"/>
  <c r="X50" i="34"/>
  <c r="X26" i="34"/>
  <c r="X42" i="34"/>
  <c r="X29" i="34"/>
  <c r="X53" i="34"/>
  <c r="X57" i="34"/>
  <c r="X1270" i="34"/>
  <c r="X1267" i="34"/>
  <c r="X747" i="34"/>
  <c r="X1330" i="34"/>
  <c r="X1332" i="34"/>
  <c r="X1410" i="34"/>
  <c r="X1394" i="34"/>
  <c r="X1357" i="34"/>
  <c r="X1439" i="34"/>
  <c r="X1405" i="34"/>
  <c r="X1252" i="34"/>
  <c r="X1349" i="34"/>
  <c r="X1238" i="34"/>
  <c r="X1388" i="34"/>
  <c r="X1311" i="34"/>
  <c r="X1297" i="34"/>
  <c r="X1249" i="34"/>
  <c r="X1404" i="34"/>
  <c r="X1291" i="34"/>
  <c r="X1409" i="34"/>
  <c r="X1282" i="34"/>
  <c r="X1433" i="34"/>
  <c r="X1274" i="34"/>
  <c r="X1425" i="34"/>
  <c r="X1308" i="34"/>
  <c r="X1417" i="34"/>
  <c r="X1310" i="34"/>
  <c r="X1420" i="34"/>
  <c r="X1313" i="34"/>
  <c r="X1217" i="34"/>
  <c r="X1307" i="34"/>
  <c r="X1273" i="34"/>
  <c r="X1384" i="34"/>
  <c r="X1247" i="34"/>
  <c r="X1320" i="34"/>
  <c r="X1360" i="34"/>
  <c r="X1124" i="34"/>
  <c r="X1106" i="34"/>
  <c r="X1126" i="34"/>
  <c r="X1275" i="34"/>
  <c r="X1065" i="34"/>
  <c r="X1375" i="34"/>
  <c r="X980" i="34"/>
  <c r="X721" i="34"/>
  <c r="X947" i="34"/>
  <c r="X722" i="34"/>
  <c r="X2508" i="34"/>
  <c r="X2788" i="34"/>
  <c r="X2736" i="34"/>
  <c r="X2639" i="34"/>
  <c r="X2819" i="34"/>
  <c r="X2655" i="34"/>
  <c r="X2632" i="34"/>
  <c r="X2602" i="34"/>
  <c r="X2774" i="34"/>
  <c r="X2735" i="34"/>
  <c r="X2783" i="34"/>
  <c r="X14" i="34"/>
  <c r="X2031" i="34"/>
  <c r="X2900" i="34"/>
  <c r="X1337" i="34"/>
  <c r="X1122" i="34"/>
  <c r="X1946" i="34"/>
  <c r="X1524" i="34"/>
  <c r="X2160" i="34"/>
  <c r="X1751" i="34"/>
  <c r="X1637" i="34"/>
  <c r="X2087" i="34"/>
  <c r="X970" i="34"/>
  <c r="X1630" i="34"/>
  <c r="X2047" i="34"/>
  <c r="X2046" i="34"/>
  <c r="X2164" i="34"/>
  <c r="X1472" i="34"/>
  <c r="X1338" i="34"/>
  <c r="X1119" i="34"/>
  <c r="X1755" i="34"/>
  <c r="X2108" i="34"/>
  <c r="X1426" i="34"/>
  <c r="X1647" i="34"/>
  <c r="X1117" i="34"/>
  <c r="X2157" i="34"/>
  <c r="X978" i="34"/>
  <c r="X972" i="34"/>
  <c r="X1682" i="34"/>
  <c r="X2131" i="34"/>
  <c r="X1130" i="34"/>
  <c r="X1937" i="34"/>
  <c r="X1759" i="34"/>
  <c r="X2162" i="34"/>
  <c r="X1627" i="34"/>
  <c r="X2182" i="34"/>
  <c r="X2178" i="34"/>
  <c r="X1031" i="34"/>
  <c r="X2107" i="34"/>
  <c r="X1407" i="34"/>
  <c r="X2181" i="34"/>
  <c r="X1339" i="34"/>
  <c r="X1034" i="34"/>
  <c r="X1523" i="34"/>
  <c r="X2135" i="34"/>
  <c r="X1427" i="34"/>
  <c r="X1977" i="34"/>
  <c r="X560" i="34"/>
  <c r="X702" i="34"/>
  <c r="X521" i="34"/>
  <c r="X166" i="34"/>
  <c r="X1048" i="34"/>
  <c r="X584" i="34"/>
  <c r="X599" i="34"/>
  <c r="X516" i="34"/>
  <c r="X631" i="34"/>
  <c r="X1090" i="34"/>
  <c r="X571" i="34"/>
  <c r="X703" i="34"/>
  <c r="X514" i="34"/>
  <c r="X623" i="34"/>
  <c r="X578" i="34"/>
  <c r="X952" i="34"/>
  <c r="X150" i="34"/>
  <c r="X632" i="34"/>
  <c r="X1044" i="34"/>
  <c r="X580" i="34"/>
  <c r="X603" i="34"/>
  <c r="X534" i="34"/>
  <c r="X983" i="34"/>
  <c r="X553" i="34"/>
  <c r="X621" i="34"/>
  <c r="X554" i="34"/>
  <c r="X518" i="34"/>
  <c r="X713" i="34"/>
  <c r="X1003" i="34"/>
  <c r="X581" i="34"/>
  <c r="X1009" i="34"/>
  <c r="X523" i="34"/>
  <c r="X784" i="34"/>
  <c r="X1042" i="34"/>
  <c r="X1049" i="34"/>
  <c r="X577" i="34"/>
  <c r="X1202" i="34"/>
  <c r="X537" i="34"/>
  <c r="X768" i="34"/>
  <c r="X1046" i="34"/>
  <c r="X3209" i="34"/>
  <c r="X2871" i="34"/>
  <c r="X2538" i="34"/>
  <c r="X3161" i="34"/>
  <c r="X3111" i="34"/>
  <c r="X3261" i="34"/>
  <c r="X3085" i="34"/>
  <c r="X3291" i="34"/>
  <c r="X2528" i="34"/>
  <c r="X2838" i="34"/>
  <c r="X2574" i="34"/>
  <c r="X3135" i="34"/>
  <c r="X3195" i="34"/>
  <c r="X3053" i="34"/>
  <c r="X2867" i="34"/>
  <c r="X2851" i="34"/>
  <c r="X2747" i="34"/>
  <c r="X2579" i="34"/>
  <c r="X3320" i="34"/>
  <c r="X3142" i="34"/>
  <c r="X3040" i="34"/>
  <c r="X3152" i="34"/>
  <c r="X3228" i="34"/>
  <c r="X3076" i="34"/>
  <c r="X3300" i="34"/>
  <c r="X2811" i="34"/>
  <c r="X2767" i="34"/>
  <c r="X3200" i="34"/>
  <c r="X3158" i="34"/>
  <c r="X3270" i="34"/>
  <c r="X2648" i="34"/>
  <c r="X2915" i="34"/>
  <c r="X3199" i="34"/>
  <c r="X3115" i="34"/>
  <c r="X3265" i="34"/>
  <c r="X2993" i="34"/>
  <c r="X2866" i="34"/>
  <c r="X2506" i="34"/>
  <c r="X2842" i="34"/>
  <c r="X2586" i="34"/>
  <c r="X3321" i="34"/>
  <c r="X3147" i="34"/>
  <c r="X3041" i="34"/>
  <c r="X3153" i="34"/>
  <c r="X2595" i="34"/>
  <c r="X2847" i="34"/>
  <c r="X2575" i="34"/>
  <c r="X3138" i="34"/>
  <c r="X2982" i="34"/>
  <c r="X3052" i="34"/>
  <c r="X3174" i="34"/>
  <c r="X3216" i="34"/>
  <c r="X3018" i="34"/>
  <c r="X2781" i="34"/>
  <c r="X2529" i="34"/>
  <c r="X3096" i="34"/>
  <c r="X3258" i="34"/>
  <c r="X2984" i="34"/>
  <c r="X3231" i="34"/>
  <c r="X3079" i="34"/>
  <c r="X3303" i="34"/>
  <c r="X2917" i="34"/>
  <c r="X3197" i="34"/>
  <c r="X3113" i="34"/>
  <c r="X3271" i="34"/>
  <c r="X3297" i="34"/>
  <c r="X2790" i="34"/>
  <c r="X2844" i="34"/>
  <c r="X2588" i="34"/>
  <c r="X3307" i="34"/>
  <c r="X3137" i="34"/>
  <c r="X3298" i="34"/>
  <c r="X2795" i="34"/>
  <c r="X2845" i="34"/>
  <c r="X2573" i="34"/>
  <c r="X3124" i="34"/>
  <c r="X3184" i="34"/>
  <c r="X3038" i="34"/>
  <c r="X3070" i="34"/>
  <c r="X3222" i="34"/>
  <c r="X3024" i="34"/>
  <c r="X3302" i="34"/>
  <c r="X2591" i="34"/>
  <c r="X2733" i="34"/>
  <c r="X3098" i="34"/>
  <c r="X3167" i="34"/>
  <c r="X3183" i="34"/>
  <c r="X3017" i="34"/>
  <c r="X2800" i="34"/>
  <c r="X2730" i="34"/>
  <c r="X3093" i="34"/>
  <c r="X3251" i="34"/>
  <c r="X3283" i="34"/>
  <c r="X3033" i="34"/>
  <c r="X2872" i="34"/>
  <c r="X2596" i="34"/>
  <c r="X2848" i="34"/>
  <c r="X2718" i="34"/>
  <c r="X3315" i="34"/>
  <c r="X3141" i="34"/>
  <c r="X3084" i="34"/>
  <c r="X3294" i="34"/>
  <c r="X2791" i="34"/>
  <c r="X2527" i="34"/>
  <c r="X2841" i="34"/>
  <c r="X2585" i="34"/>
  <c r="X3120" i="34"/>
  <c r="X3188" i="34"/>
  <c r="X3030" i="34"/>
  <c r="X3066" i="34"/>
  <c r="X2994" i="34"/>
  <c r="X3182" i="34"/>
  <c r="X3306" i="34"/>
  <c r="X2729" i="34"/>
  <c r="X3102" i="34"/>
  <c r="X3260" i="34"/>
  <c r="X3090" i="34"/>
  <c r="X3292" i="34"/>
  <c r="X3027" i="34"/>
  <c r="X3067" i="34"/>
  <c r="X3233" i="34"/>
  <c r="X3081" i="34"/>
  <c r="X3305" i="34"/>
  <c r="X3272" i="34"/>
  <c r="X3004" i="34"/>
  <c r="X2983" i="34"/>
  <c r="X3055" i="34"/>
  <c r="X3173" i="34"/>
  <c r="X3213" i="34"/>
  <c r="X3009" i="34"/>
  <c r="X2391" i="34"/>
  <c r="X2388" i="34"/>
  <c r="X3361" i="34"/>
  <c r="X2385" i="34"/>
  <c r="X2350" i="34"/>
  <c r="X2624" i="34"/>
  <c r="X2285" i="34"/>
  <c r="X2570" i="34"/>
  <c r="X2474" i="34"/>
  <c r="X2317" i="34"/>
  <c r="X2901" i="34"/>
  <c r="X2452" i="34"/>
  <c r="X2241" i="34"/>
  <c r="X2353" i="34"/>
  <c r="X1078" i="34"/>
  <c r="X1989" i="34"/>
  <c r="X2913" i="34"/>
  <c r="X2963" i="34"/>
  <c r="X1242" i="34"/>
  <c r="X2674" i="34"/>
  <c r="X2424" i="34"/>
  <c r="X2238" i="34"/>
  <c r="X1500" i="34"/>
  <c r="X2769" i="34"/>
  <c r="X2551" i="34"/>
  <c r="X2657" i="34"/>
  <c r="X2433" i="34"/>
  <c r="X2956" i="34"/>
  <c r="X2290" i="34"/>
  <c r="X1087" i="34"/>
  <c r="X1671" i="34"/>
  <c r="X2775" i="34"/>
  <c r="X2374" i="34"/>
  <c r="X2026" i="34"/>
  <c r="X2909" i="34"/>
  <c r="X2450" i="34"/>
  <c r="X2566" i="34"/>
  <c r="X2967" i="34"/>
  <c r="X2630" i="34"/>
  <c r="X2658" i="34"/>
  <c r="X2239" i="34"/>
  <c r="X2347" i="34"/>
  <c r="X2299" i="34"/>
  <c r="X1024" i="34"/>
  <c r="X2151" i="34"/>
  <c r="X2546" i="34"/>
  <c r="X2610" i="34"/>
  <c r="X1469" i="34"/>
  <c r="X2670" i="34"/>
  <c r="X2485" i="34"/>
  <c r="X2298" i="34"/>
  <c r="X2663" i="34"/>
  <c r="X2825" i="34"/>
  <c r="X2625" i="34"/>
  <c r="X2404" i="34"/>
  <c r="X2952" i="34"/>
  <c r="X3362" i="34"/>
  <c r="X2272" i="34"/>
  <c r="X2096" i="34"/>
  <c r="X2212" i="34"/>
  <c r="X2519" i="34"/>
  <c r="X2314" i="34"/>
  <c r="X2750" i="34"/>
  <c r="X2618" i="34"/>
  <c r="X2403" i="34"/>
  <c r="X2438" i="34"/>
  <c r="X2957" i="34"/>
  <c r="X2331" i="34"/>
  <c r="X2421" i="34"/>
  <c r="X1662" i="34"/>
  <c r="X2205" i="34"/>
  <c r="X2401" i="34"/>
  <c r="X2211" i="34"/>
  <c r="X2965" i="34"/>
  <c r="X2514" i="34"/>
  <c r="X2369" i="34"/>
  <c r="X2817" i="34"/>
  <c r="X2483" i="34"/>
  <c r="X2380" i="34"/>
  <c r="X2336" i="34"/>
  <c r="X2242" i="34"/>
  <c r="X2300" i="34"/>
  <c r="X2360" i="34"/>
  <c r="X1484" i="34"/>
  <c r="X2152" i="34"/>
  <c r="X2256" i="34"/>
  <c r="X1233" i="34"/>
  <c r="X2759" i="34"/>
  <c r="X2611" i="34"/>
  <c r="X2400" i="34"/>
  <c r="X2742" i="34"/>
  <c r="X2548" i="34"/>
  <c r="X2271" i="34"/>
  <c r="X2929" i="34"/>
  <c r="X2498" i="34"/>
  <c r="X2277" i="34"/>
  <c r="X1574" i="34"/>
  <c r="X2209" i="34"/>
  <c r="X2638" i="34"/>
  <c r="X2275" i="34"/>
  <c r="X2568" i="34"/>
  <c r="X2480" i="34"/>
  <c r="X2315" i="34"/>
  <c r="X2472" i="34"/>
  <c r="X2467" i="34"/>
  <c r="X2631" i="34"/>
  <c r="X2376" i="34"/>
  <c r="X2561" i="34"/>
  <c r="X2344" i="34"/>
  <c r="X2308" i="34"/>
  <c r="X1231" i="34"/>
  <c r="X2569" i="34"/>
  <c r="X2324" i="34"/>
  <c r="X2563" i="34"/>
  <c r="X2392" i="34"/>
  <c r="X2064" i="34"/>
  <c r="X2743" i="34"/>
  <c r="X2615" i="34"/>
  <c r="X2410" i="34"/>
  <c r="X2958" i="34"/>
  <c r="X2284" i="34"/>
  <c r="X2278" i="34"/>
  <c r="X1372" i="34"/>
  <c r="X2120" i="34"/>
  <c r="X1965" i="34"/>
  <c r="X2518" i="34"/>
  <c r="X2237" i="34"/>
  <c r="X2247" i="34"/>
  <c r="X2309" i="34"/>
  <c r="X1397" i="34"/>
  <c r="X2149" i="34"/>
  <c r="X1972" i="34"/>
  <c r="X2962" i="34"/>
  <c r="X2384" i="34"/>
  <c r="X1659" i="34"/>
  <c r="X1961" i="34"/>
  <c r="X2943" i="34"/>
  <c r="X2327" i="34"/>
  <c r="X2251" i="34"/>
  <c r="X2313" i="34"/>
  <c r="X1754" i="34"/>
  <c r="X1966" i="34"/>
  <c r="X3355" i="34"/>
  <c r="X2887" i="34"/>
  <c r="X1022" i="34"/>
  <c r="X1154" i="34"/>
  <c r="X1748" i="34"/>
  <c r="X352" i="34"/>
  <c r="X650" i="34"/>
  <c r="X708" i="34"/>
  <c r="X3327" i="34"/>
  <c r="X2141" i="34"/>
  <c r="X1483" i="34"/>
  <c r="X1590" i="34"/>
  <c r="X1134" i="34"/>
  <c r="X904" i="34"/>
  <c r="X1010" i="34"/>
  <c r="X156" i="34"/>
  <c r="X3353" i="34"/>
  <c r="X2885" i="34"/>
  <c r="X2201" i="34"/>
  <c r="X2095" i="34"/>
  <c r="X1196" i="34"/>
  <c r="X1746" i="34"/>
  <c r="X928" i="34"/>
  <c r="X354" i="34"/>
  <c r="X604" i="34"/>
  <c r="X686" i="34"/>
  <c r="X3333" i="34"/>
  <c r="X2926" i="34"/>
  <c r="X2809" i="34"/>
  <c r="X2144" i="34"/>
  <c r="X1753" i="34"/>
  <c r="X2006" i="34"/>
  <c r="X1543" i="34"/>
  <c r="X1094" i="34"/>
  <c r="X359" i="34"/>
  <c r="X1055" i="34"/>
  <c r="X658" i="34"/>
  <c r="X2224" i="34"/>
  <c r="X2803" i="34"/>
  <c r="X1019" i="34"/>
  <c r="X1342" i="34"/>
  <c r="X2076" i="34"/>
  <c r="X1605" i="34"/>
  <c r="X1111" i="34"/>
  <c r="X655" i="34"/>
  <c r="X709" i="34"/>
  <c r="X3336" i="34"/>
  <c r="X2711" i="34"/>
  <c r="X1380" i="34"/>
  <c r="X2090" i="34"/>
  <c r="X1545" i="34"/>
  <c r="X939" i="34"/>
  <c r="X1011" i="34"/>
  <c r="X157" i="34"/>
  <c r="X3338" i="34"/>
  <c r="X2940" i="34"/>
  <c r="X3343" i="34"/>
  <c r="X3326" i="34"/>
  <c r="X2169" i="34"/>
  <c r="X1950" i="34"/>
  <c r="X1198" i="34"/>
  <c r="X1744" i="34"/>
  <c r="X918" i="34"/>
  <c r="X640" i="34"/>
  <c r="X750" i="34"/>
  <c r="X2876" i="34"/>
  <c r="X2115" i="34"/>
  <c r="X1686" i="34"/>
  <c r="X1068" i="34"/>
  <c r="X1594" i="34"/>
  <c r="X1064" i="34"/>
  <c r="X862" i="34"/>
  <c r="X732" i="34"/>
  <c r="X2979" i="34"/>
  <c r="X2808" i="34"/>
  <c r="X1700" i="34"/>
  <c r="X1192" i="34"/>
  <c r="X2009" i="34"/>
  <c r="X924" i="34"/>
  <c r="X630" i="34"/>
  <c r="X682" i="34"/>
  <c r="X752" i="34"/>
  <c r="X2470" i="34"/>
  <c r="X2896" i="34"/>
  <c r="X1189" i="34"/>
  <c r="X2192" i="34"/>
  <c r="X1348" i="34"/>
  <c r="X2138" i="34"/>
  <c r="X1591" i="34"/>
  <c r="X1098" i="34"/>
  <c r="X941" i="34"/>
  <c r="X74" i="34"/>
  <c r="X735" i="34"/>
  <c r="X2978" i="34"/>
  <c r="X2461" i="34"/>
  <c r="X2056" i="34"/>
  <c r="X1951" i="34"/>
  <c r="X997" i="34"/>
  <c r="X1601" i="34"/>
  <c r="X1081" i="34"/>
  <c r="X1207" i="34"/>
  <c r="X651" i="34"/>
  <c r="X717" i="34"/>
  <c r="X3332" i="34"/>
  <c r="X2142" i="34"/>
  <c r="X1346" i="34"/>
  <c r="X2094" i="34"/>
  <c r="X1559" i="34"/>
  <c r="X1137" i="34"/>
  <c r="X1151" i="34"/>
  <c r="X733" i="34"/>
  <c r="X2240" i="34"/>
  <c r="X2886" i="34"/>
  <c r="X2712" i="34"/>
  <c r="X1654" i="34"/>
  <c r="X2139" i="34"/>
  <c r="X1592" i="34"/>
  <c r="X1062" i="34"/>
  <c r="X1144" i="34"/>
  <c r="X73" i="34"/>
  <c r="X1983" i="34"/>
  <c r="X2168" i="34"/>
  <c r="X1949" i="34"/>
  <c r="X1201" i="34"/>
  <c r="X1745" i="34"/>
  <c r="X923" i="34"/>
  <c r="X1211" i="34"/>
  <c r="X665" i="34"/>
  <c r="X1980" i="34"/>
  <c r="X2113" i="34"/>
  <c r="X2093" i="34"/>
  <c r="X1132" i="34"/>
  <c r="X68" i="34"/>
  <c r="X2058" i="34"/>
  <c r="X2012" i="34"/>
  <c r="X639" i="34"/>
  <c r="X893" i="34"/>
  <c r="X105" i="34"/>
  <c r="X431" i="34"/>
  <c r="X332" i="34"/>
  <c r="X2217" i="34"/>
  <c r="X446" i="34"/>
  <c r="X674" i="34"/>
  <c r="X121" i="34"/>
  <c r="X228" i="34"/>
  <c r="X844" i="34"/>
  <c r="X1624" i="34"/>
  <c r="X760" i="34"/>
  <c r="X916" i="34"/>
  <c r="X249" i="34"/>
  <c r="X894" i="34"/>
  <c r="X1728" i="34"/>
  <c r="X115" i="34"/>
  <c r="X792" i="34"/>
  <c r="X138" i="34"/>
  <c r="X338" i="34"/>
  <c r="X839" i="34"/>
  <c r="X1532" i="34"/>
  <c r="X98" i="34"/>
  <c r="X254" i="34"/>
  <c r="X139" i="34"/>
  <c r="X701" i="34"/>
  <c r="X2218" i="34"/>
  <c r="X63" i="34"/>
  <c r="X286" i="34"/>
  <c r="X915" i="34"/>
  <c r="X308" i="34"/>
  <c r="X221" i="34"/>
  <c r="X819" i="34"/>
  <c r="X1998" i="34"/>
  <c r="X1476" i="34"/>
  <c r="X753" i="34"/>
  <c r="X755" i="34"/>
  <c r="X225" i="34"/>
  <c r="X337" i="34"/>
  <c r="X2070" i="34"/>
  <c r="X849" i="34"/>
  <c r="X1589" i="34"/>
  <c r="X757" i="34"/>
  <c r="X288" i="34"/>
  <c r="X226" i="34"/>
  <c r="X377" i="34"/>
  <c r="X1564" i="34"/>
  <c r="X870" i="34"/>
  <c r="X171" i="34"/>
  <c r="X511" i="34"/>
  <c r="X307" i="34"/>
  <c r="X610" i="34"/>
  <c r="X1997" i="34"/>
  <c r="X1540" i="34"/>
  <c r="X113" i="34"/>
  <c r="X558" i="34"/>
  <c r="X136" i="34"/>
  <c r="X740" i="34"/>
  <c r="X856" i="34"/>
  <c r="X1584" i="34"/>
  <c r="X132" i="34"/>
  <c r="X89" i="34"/>
  <c r="X976" i="34"/>
  <c r="X824" i="34"/>
  <c r="X936" i="34"/>
  <c r="X125" i="34"/>
  <c r="X183" i="34"/>
  <c r="X430" i="34"/>
  <c r="X829" i="34"/>
  <c r="X1575" i="34"/>
  <c r="X102" i="34"/>
  <c r="X528" i="34"/>
  <c r="X909" i="34"/>
  <c r="X231" i="34"/>
  <c r="X643" i="34"/>
  <c r="X2220" i="34"/>
  <c r="X871" i="34"/>
  <c r="X108" i="34"/>
  <c r="X88" i="34"/>
  <c r="X175" i="34"/>
  <c r="X823" i="34"/>
  <c r="X2020" i="34"/>
  <c r="X773" i="34"/>
  <c r="X387" i="34"/>
  <c r="X270" i="34"/>
  <c r="X306" i="34"/>
  <c r="X853" i="34"/>
  <c r="X1555" i="34"/>
  <c r="X161" i="34"/>
  <c r="X811" i="34"/>
  <c r="X486" i="34"/>
  <c r="X322" i="34"/>
  <c r="X889" i="34"/>
  <c r="X2085" i="34"/>
  <c r="X2098" i="34"/>
  <c r="X145" i="34"/>
  <c r="X179" i="34"/>
  <c r="X2143" i="34"/>
  <c r="X2041" i="34"/>
  <c r="X996" i="34"/>
  <c r="X77" i="34"/>
  <c r="X1649" i="34"/>
  <c r="X1535" i="34"/>
  <c r="X653" i="34"/>
  <c r="X1984" i="34"/>
  <c r="X110" i="34"/>
  <c r="X243" i="34"/>
  <c r="X250" i="34"/>
  <c r="X2027" i="34"/>
  <c r="X180" i="34"/>
  <c r="X822" i="34"/>
  <c r="X172" i="34"/>
  <c r="X269" i="34"/>
  <c r="X852" i="34"/>
  <c r="X432" i="34"/>
  <c r="X455" i="34"/>
  <c r="X309" i="34"/>
  <c r="X820" i="34"/>
  <c r="X932" i="34"/>
  <c r="X2021" i="34"/>
  <c r="X774" i="34"/>
  <c r="X756" i="34"/>
  <c r="X177" i="34"/>
  <c r="X614" i="34"/>
  <c r="X933" i="34"/>
  <c r="X1539" i="34"/>
  <c r="X112" i="34"/>
  <c r="X789" i="34"/>
  <c r="X272" i="34"/>
  <c r="X847" i="34"/>
  <c r="X1088" i="34"/>
  <c r="X131" i="34"/>
  <c r="X813" i="34"/>
  <c r="X181" i="34"/>
  <c r="X328" i="34"/>
  <c r="X611" i="34"/>
  <c r="X827" i="34"/>
  <c r="X935" i="34"/>
  <c r="X1731" i="34"/>
  <c r="X765" i="34"/>
  <c r="X797" i="34"/>
  <c r="X266" i="34"/>
  <c r="X613" i="34"/>
  <c r="X2084" i="34"/>
  <c r="X857" i="34"/>
  <c r="X92" i="34"/>
  <c r="X769" i="34"/>
  <c r="X86" i="34"/>
  <c r="X304" i="34"/>
  <c r="X395" i="34"/>
  <c r="X842" i="34"/>
  <c r="X1170" i="34"/>
  <c r="X758" i="34"/>
  <c r="X812" i="34"/>
  <c r="X374" i="34"/>
  <c r="X1626" i="34"/>
  <c r="X930" i="34"/>
  <c r="X2019" i="34"/>
  <c r="X127" i="34"/>
  <c r="X790" i="34"/>
  <c r="X273" i="34"/>
  <c r="X2083" i="34"/>
  <c r="X868" i="34"/>
  <c r="X2029" i="34"/>
  <c r="X451" i="34"/>
  <c r="X810" i="34"/>
  <c r="X485" i="34"/>
  <c r="X832" i="34"/>
  <c r="X1538" i="34"/>
  <c r="X594" i="34"/>
  <c r="X271" i="34"/>
  <c r="X704" i="34"/>
  <c r="X895" i="34"/>
  <c r="X1625" i="34"/>
  <c r="X116" i="34"/>
  <c r="X549" i="34"/>
  <c r="X959" i="34"/>
  <c r="X268" i="34"/>
  <c r="X645" i="34"/>
  <c r="X843" i="34"/>
  <c r="X1583" i="34"/>
  <c r="X159" i="34"/>
  <c r="X809" i="34"/>
  <c r="X232" i="34"/>
  <c r="X831" i="34"/>
  <c r="X96" i="34"/>
  <c r="X252" i="34"/>
  <c r="X137" i="34"/>
  <c r="X329" i="34"/>
  <c r="X349" i="34"/>
  <c r="X865" i="34"/>
  <c r="X1749" i="34"/>
  <c r="X761" i="34"/>
  <c r="X745" i="34"/>
  <c r="X230" i="34"/>
  <c r="X609" i="34"/>
  <c r="X146" i="34"/>
  <c r="X1750" i="34"/>
  <c r="X483" i="34"/>
  <c r="X878" i="34"/>
  <c r="X766" i="34"/>
  <c r="X1230" i="34"/>
  <c r="X1596" i="34"/>
  <c r="X1162" i="34"/>
  <c r="X738" i="34"/>
  <c r="X1157" i="34"/>
  <c r="X919" i="34"/>
  <c r="X691" i="34"/>
  <c r="X147" i="34"/>
  <c r="X93" i="34"/>
  <c r="X207" i="34"/>
  <c r="X2219" i="34"/>
  <c r="X495" i="34"/>
  <c r="X327" i="34"/>
  <c r="X896" i="34"/>
  <c r="X531" i="34"/>
  <c r="X285" i="34"/>
  <c r="X872" i="34"/>
  <c r="X128" i="34"/>
  <c r="X525" i="34"/>
  <c r="X376" i="34"/>
  <c r="X828" i="34"/>
  <c r="X966" i="34"/>
  <c r="X449" i="34"/>
  <c r="X527" i="34"/>
  <c r="X782" i="34"/>
  <c r="X267" i="34"/>
  <c r="X825" i="34"/>
  <c r="X963" i="34"/>
  <c r="X1729" i="34"/>
  <c r="X763" i="34"/>
  <c r="X795" i="34"/>
  <c r="X343" i="34"/>
  <c r="X855" i="34"/>
  <c r="X1536" i="34"/>
  <c r="X502" i="34"/>
  <c r="X727" i="34"/>
  <c r="X185" i="34"/>
  <c r="X375" i="34"/>
  <c r="X666" i="34"/>
  <c r="X835" i="34"/>
  <c r="X965" i="34"/>
  <c r="X100" i="34"/>
  <c r="X532" i="34"/>
  <c r="X141" i="34"/>
  <c r="X274" i="34"/>
  <c r="X693" i="34"/>
  <c r="X2214" i="34"/>
  <c r="X869" i="34"/>
  <c r="X106" i="34"/>
  <c r="X452" i="34"/>
  <c r="X729" i="34"/>
  <c r="X326" i="34"/>
  <c r="X648" i="34"/>
  <c r="X850" i="34"/>
  <c r="X2007" i="34"/>
  <c r="X770" i="34"/>
  <c r="X730" i="34"/>
  <c r="X396" i="34"/>
  <c r="X826" i="34"/>
  <c r="X964" i="34"/>
  <c r="X95" i="34"/>
  <c r="X772" i="34"/>
  <c r="X880" i="34"/>
  <c r="X344" i="34"/>
  <c r="X2215" i="34"/>
  <c r="X1533" i="34"/>
  <c r="X91" i="34"/>
  <c r="X503" i="34"/>
  <c r="X728" i="34"/>
  <c r="X303" i="34"/>
  <c r="X838" i="34"/>
  <c r="X101" i="34"/>
  <c r="X860" i="34"/>
  <c r="X342" i="34"/>
  <c r="X700" i="34"/>
  <c r="X1516" i="34"/>
  <c r="X595" i="34"/>
  <c r="X126" i="34"/>
  <c r="X793" i="34"/>
  <c r="X135" i="34"/>
  <c r="X367" i="34"/>
  <c r="X2072" i="34"/>
  <c r="X851" i="34"/>
  <c r="X2028" i="34"/>
  <c r="X759" i="34"/>
  <c r="X731" i="34"/>
  <c r="X397" i="34"/>
  <c r="X931" i="34"/>
  <c r="X104" i="34"/>
  <c r="X741" i="34"/>
  <c r="X182" i="34"/>
  <c r="X369" i="34"/>
  <c r="X699" i="34"/>
  <c r="X1534" i="34"/>
  <c r="X2030" i="34"/>
  <c r="X510" i="34"/>
  <c r="X905" i="34"/>
  <c r="X300" i="34"/>
  <c r="X305" i="34"/>
  <c r="X585" i="34"/>
  <c r="X2022" i="34"/>
  <c r="X144" i="34"/>
  <c r="X164" i="34"/>
  <c r="X1369" i="34"/>
  <c r="X1562" i="34"/>
  <c r="X956" i="34"/>
  <c r="X1981" i="34"/>
  <c r="X1197" i="34"/>
  <c r="X1109" i="34"/>
  <c r="X707" i="34"/>
  <c r="X481" i="34"/>
  <c r="X788" i="34"/>
  <c r="X401" i="34"/>
  <c r="X846" i="34"/>
  <c r="X87" i="34"/>
  <c r="X378" i="34"/>
  <c r="X934" i="34"/>
  <c r="X796" i="34"/>
  <c r="X348" i="34"/>
  <c r="X1554" i="34"/>
  <c r="X160" i="34"/>
  <c r="X85" i="34"/>
  <c r="X398" i="34"/>
  <c r="X836" i="34"/>
  <c r="X1531" i="34"/>
  <c r="X97" i="34"/>
  <c r="X253" i="34"/>
  <c r="X388" i="34"/>
  <c r="X251" i="34"/>
  <c r="X833" i="34"/>
  <c r="X1025" i="34"/>
  <c r="X2032" i="34"/>
  <c r="X197" i="34"/>
  <c r="X371" i="34"/>
  <c r="X339" i="34"/>
  <c r="X867" i="34"/>
  <c r="X1623" i="34"/>
  <c r="X524" i="34"/>
  <c r="X779" i="34"/>
  <c r="X302" i="34"/>
  <c r="X393" i="34"/>
  <c r="X675" i="34"/>
  <c r="X837" i="34"/>
  <c r="X1093" i="34"/>
  <c r="X114" i="34"/>
  <c r="X791" i="34"/>
  <c r="X176" i="34"/>
  <c r="X345" i="34"/>
  <c r="X647" i="34"/>
  <c r="X2216" i="34"/>
  <c r="X1169" i="34"/>
  <c r="X133" i="34"/>
  <c r="X494" i="34"/>
  <c r="X949" i="34"/>
  <c r="X361" i="34"/>
  <c r="X2081" i="34"/>
  <c r="X858" i="34"/>
  <c r="X134" i="34"/>
  <c r="X453" i="34"/>
  <c r="X184" i="34"/>
  <c r="X220" i="34"/>
  <c r="X834" i="34"/>
  <c r="X1168" i="34"/>
  <c r="X103" i="34"/>
  <c r="X198" i="34"/>
  <c r="X372" i="34"/>
  <c r="X646" i="34"/>
  <c r="X848" i="34"/>
  <c r="X2213" i="34"/>
  <c r="X109" i="34"/>
  <c r="X287" i="34"/>
  <c r="X814" i="34"/>
  <c r="X394" i="34"/>
  <c r="X900" i="34"/>
  <c r="X111" i="34"/>
  <c r="X142" i="34"/>
  <c r="X370" i="34"/>
  <c r="X821" i="34"/>
  <c r="X901" i="34"/>
  <c r="X94" i="34"/>
  <c r="X785" i="34"/>
  <c r="X879" i="34"/>
  <c r="X143" i="34"/>
  <c r="X335" i="34"/>
  <c r="X2082" i="34"/>
  <c r="X859" i="34"/>
  <c r="X2034" i="34"/>
  <c r="X454" i="34"/>
  <c r="X975" i="34"/>
  <c r="X336" i="34"/>
  <c r="X1537" i="34"/>
  <c r="X122" i="34"/>
  <c r="X781" i="34"/>
  <c r="X229" i="34"/>
  <c r="X429" i="34"/>
  <c r="X845" i="34"/>
  <c r="X1996" i="34"/>
  <c r="X129" i="34"/>
  <c r="X90" i="34"/>
  <c r="X977" i="34"/>
  <c r="X399" i="34"/>
  <c r="X281" i="34"/>
  <c r="X902" i="34"/>
  <c r="X2176" i="34"/>
  <c r="X873" i="34"/>
  <c r="X178" i="34"/>
  <c r="X187" i="34"/>
  <c r="X194" i="34"/>
  <c r="X409" i="34"/>
  <c r="X460" i="34"/>
  <c r="X435" i="34"/>
  <c r="X258" i="34"/>
  <c r="X875" i="34"/>
  <c r="X883" i="34"/>
  <c r="X803" i="34"/>
  <c r="X472" i="34"/>
  <c r="X440" i="34"/>
  <c r="X423" i="34"/>
  <c r="X292" i="34"/>
  <c r="X238" i="34"/>
  <c r="X673" i="34"/>
  <c r="X480" i="34"/>
  <c r="X407" i="34"/>
  <c r="X458" i="34"/>
  <c r="X437" i="34"/>
  <c r="X264" i="34"/>
  <c r="X296" i="34"/>
  <c r="X256" i="34"/>
  <c r="X213" i="34"/>
  <c r="X887" i="34"/>
  <c r="X881" i="34"/>
  <c r="X775" i="34"/>
  <c r="X841" i="34"/>
  <c r="X474" i="34"/>
  <c r="X381" i="34"/>
  <c r="X316" i="34"/>
  <c r="X278" i="34"/>
  <c r="X240" i="34"/>
  <c r="X236" i="34"/>
  <c r="X799" i="34"/>
  <c r="X298" i="34"/>
  <c r="X205" i="34"/>
  <c r="X475" i="34"/>
  <c r="X473" i="34"/>
  <c r="X424" i="34"/>
  <c r="X426" i="34"/>
  <c r="X414" i="34"/>
  <c r="X380" i="34"/>
  <c r="X323" i="34"/>
  <c r="X726" i="34"/>
  <c r="X299" i="34"/>
  <c r="X202" i="34"/>
  <c r="X412" i="34"/>
  <c r="X459" i="34"/>
  <c r="X392" i="34"/>
  <c r="X261" i="34"/>
  <c r="X293" i="34"/>
  <c r="X245" i="34"/>
  <c r="X210" i="34"/>
  <c r="X882" i="34"/>
  <c r="X416" i="34"/>
  <c r="X382" i="34"/>
  <c r="X325" i="34"/>
  <c r="X800" i="34"/>
  <c r="X874" i="34"/>
  <c r="X208" i="34"/>
  <c r="X410" i="34"/>
  <c r="X457" i="34"/>
  <c r="X390" i="34"/>
  <c r="X275" i="34"/>
  <c r="X876" i="34"/>
  <c r="X804" i="34"/>
  <c r="X802" i="34"/>
  <c r="X456" i="34"/>
  <c r="X262" i="34"/>
  <c r="X294" i="34"/>
  <c r="X246" i="34"/>
  <c r="X234" i="34"/>
  <c r="X211" i="34"/>
  <c r="X805" i="34"/>
  <c r="X425" i="34"/>
  <c r="X419" i="34"/>
  <c r="X383" i="34"/>
  <c r="X318" i="34"/>
  <c r="X233" i="34"/>
  <c r="X801" i="34"/>
  <c r="X173" i="34"/>
  <c r="X260" i="34"/>
  <c r="X203" i="34"/>
  <c r="X411" i="34"/>
  <c r="X462" i="34"/>
  <c r="X439" i="34"/>
  <c r="X433" i="34"/>
  <c r="X391" i="34"/>
  <c r="X276" i="34"/>
  <c r="X244" i="34"/>
  <c r="X237" i="34"/>
  <c r="X189" i="34"/>
  <c r="X470" i="34"/>
  <c r="X436" i="34"/>
  <c r="X427" i="34"/>
  <c r="X421" i="34"/>
  <c r="X415" i="34"/>
  <c r="X290" i="34"/>
  <c r="X405" i="34"/>
  <c r="X324" i="34"/>
  <c r="X223" i="34"/>
  <c r="X242" i="34"/>
  <c r="X201" i="34"/>
  <c r="X209" i="34"/>
  <c r="X469" i="34"/>
  <c r="X420" i="34"/>
  <c r="X384" i="34"/>
  <c r="X289" i="34"/>
  <c r="X404" i="34"/>
  <c r="X315" i="34"/>
  <c r="X239" i="34"/>
  <c r="X222" i="34"/>
  <c r="X259" i="34"/>
  <c r="X206" i="34"/>
  <c r="X408" i="34"/>
  <c r="X463" i="34"/>
  <c r="X434" i="34"/>
  <c r="X265" i="34"/>
  <c r="X402" i="34"/>
  <c r="X297" i="34"/>
  <c r="X257" i="34"/>
  <c r="X218" i="34"/>
  <c r="X888" i="34"/>
  <c r="X806" i="34"/>
  <c r="X188" i="34"/>
  <c r="X471" i="34"/>
  <c r="X422" i="34"/>
  <c r="X291" i="34"/>
  <c r="X406" i="34"/>
  <c r="X317" i="34"/>
  <c r="X224" i="34"/>
  <c r="X241" i="34"/>
  <c r="X204" i="34"/>
  <c r="X479" i="34"/>
  <c r="X461" i="34"/>
  <c r="X438" i="34"/>
  <c r="X263" i="34"/>
  <c r="X247" i="34"/>
  <c r="X212" i="34"/>
  <c r="X884" i="34"/>
  <c r="X386" i="34"/>
  <c r="X672" i="34"/>
  <c r="X509" i="34"/>
  <c r="X670" i="34"/>
  <c r="X671" i="34"/>
  <c r="X492" i="34"/>
  <c r="X351" i="34"/>
  <c r="X557" i="34"/>
  <c r="X548" i="34"/>
  <c r="X547" i="34"/>
  <c r="X493" i="34"/>
  <c r="X780" i="34"/>
  <c r="X586" i="34"/>
  <c r="X81" i="34"/>
  <c r="X418" i="34"/>
  <c r="X214" i="34"/>
  <c r="X886" i="34"/>
  <c r="X117" i="34"/>
  <c r="X564" i="34"/>
  <c r="X192" i="34"/>
  <c r="X543" i="34"/>
  <c r="X754" i="34"/>
  <c r="X196" i="34"/>
  <c r="X566" i="34"/>
  <c r="X465" i="34"/>
  <c r="X190" i="34"/>
  <c r="X162" i="34"/>
  <c r="X356" i="34"/>
  <c r="X950" i="34"/>
  <c r="X612" i="34"/>
  <c r="X491" i="34"/>
  <c r="X490" i="34"/>
  <c r="X124" i="34"/>
  <c r="X195" i="34"/>
  <c r="X488" i="34"/>
  <c r="X567" i="34"/>
  <c r="X556" i="34"/>
  <c r="X347" i="34"/>
  <c r="X215" i="34"/>
  <c r="X217" i="34"/>
  <c r="X705" i="34"/>
  <c r="X155" i="34"/>
  <c r="X441" i="34"/>
  <c r="X787" i="34"/>
  <c r="X193" i="34"/>
  <c r="X542" i="34"/>
  <c r="X607" i="34"/>
  <c r="X385" i="34"/>
  <c r="X417" i="34"/>
  <c r="X248" i="34"/>
  <c r="X725" i="34"/>
  <c r="X443" i="34"/>
  <c r="X191" i="34"/>
  <c r="X476" i="34"/>
  <c r="X80" i="34"/>
  <c r="X530" i="34"/>
  <c r="X484" i="34"/>
  <c r="X341" i="34"/>
  <c r="X340" i="34"/>
  <c r="X163" i="34"/>
  <c r="X120" i="34"/>
  <c r="X320" i="34"/>
  <c r="X357" i="34"/>
  <c r="X403" i="34"/>
  <c r="X478" i="34"/>
  <c r="X255" i="34"/>
  <c r="X748" i="34"/>
  <c r="X489" i="34"/>
  <c r="X545" i="34"/>
  <c r="X154" i="34"/>
  <c r="X216" i="34"/>
  <c r="X333" i="34"/>
  <c r="X608" i="34"/>
  <c r="X644" i="34"/>
  <c r="X330" i="34"/>
  <c r="X912" i="34"/>
  <c r="X346" i="34"/>
  <c r="X70" i="34"/>
  <c r="X123" i="34"/>
  <c r="X477" i="34"/>
  <c r="X334" i="34"/>
  <c r="X442" i="34"/>
  <c r="X562" i="34"/>
  <c r="X794" i="34"/>
  <c r="X501" i="34"/>
  <c r="X544" i="34"/>
  <c r="X945" i="34"/>
  <c r="X917" i="34"/>
  <c r="X546" i="34"/>
  <c r="X563" i="34"/>
  <c r="X565" i="34"/>
  <c r="X321" i="34"/>
  <c r="X313" i="34"/>
  <c r="X200" i="34"/>
  <c r="X279" i="34"/>
  <c r="X331" i="34"/>
  <c r="X444" i="34"/>
  <c r="X199" i="34"/>
  <c r="X951" i="34"/>
  <c r="X312" i="34"/>
  <c r="X280" i="34"/>
  <c r="X445" i="34"/>
  <c r="X311" i="34"/>
  <c r="X910" i="34"/>
  <c r="X667" i="34"/>
  <c r="X911" i="34"/>
  <c r="X314" i="34"/>
  <c r="X379" i="34"/>
  <c r="X668" i="34"/>
  <c r="X366" i="34"/>
  <c r="X362" i="34"/>
  <c r="X798" i="34"/>
  <c r="X186" i="34"/>
  <c r="X277" i="34"/>
  <c r="X464" i="34"/>
  <c r="X118" i="34"/>
  <c r="X295" i="34"/>
  <c r="X174" i="34"/>
  <c r="X219" i="34"/>
  <c r="X310" i="34"/>
  <c r="X413" i="34"/>
  <c r="X885" i="34"/>
  <c r="X500" i="34"/>
  <c r="X3371" i="34"/>
  <c r="X3370" i="34"/>
  <c r="X3369" i="34"/>
  <c r="X3367" i="34"/>
  <c r="X3366" i="34"/>
  <c r="X3368" i="34"/>
  <c r="X20" i="34"/>
  <c r="X16" i="34"/>
  <c r="X15" i="34"/>
  <c r="X19" i="34"/>
  <c r="X22" i="34"/>
  <c r="X17" i="34"/>
  <c r="X21" i="34"/>
  <c r="W1615" i="34"/>
  <c r="W1614" i="34"/>
  <c r="W1902" i="34"/>
  <c r="W1901" i="34"/>
  <c r="W1987" i="34"/>
  <c r="W1986" i="34"/>
  <c r="W1975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8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7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119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6" i="34"/>
  <c r="W1978" i="34"/>
  <c r="W1980" i="34"/>
  <c r="W1982" i="34"/>
  <c r="W1984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7" i="34"/>
  <c r="W1979" i="34"/>
  <c r="W1981" i="34"/>
  <c r="W1983" i="34"/>
  <c r="W1985" i="34"/>
  <c r="W1989" i="34"/>
  <c r="W1991" i="34"/>
  <c r="W1993" i="34"/>
  <c r="W1995" i="34"/>
  <c r="W1997" i="34"/>
  <c r="W1999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1994" i="34"/>
  <c r="W2001" i="34"/>
  <c r="W2009" i="34"/>
  <c r="W2017" i="34"/>
  <c r="W2025" i="34"/>
  <c r="W2033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2701" i="34"/>
  <c r="W2703" i="34"/>
  <c r="W2705" i="34"/>
  <c r="W2707" i="34"/>
  <c r="W2709" i="34"/>
  <c r="W1992" i="34"/>
  <c r="W2000" i="34"/>
  <c r="W2007" i="34"/>
  <c r="W2015" i="34"/>
  <c r="W2023" i="34"/>
  <c r="W2031" i="34"/>
  <c r="W2039" i="34"/>
  <c r="W1990" i="34"/>
  <c r="W1998" i="34"/>
  <c r="W2005" i="34"/>
  <c r="W2013" i="34"/>
  <c r="W2021" i="34"/>
  <c r="W2029" i="34"/>
  <c r="W2037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2702" i="34"/>
  <c r="W2704" i="34"/>
  <c r="W2706" i="34"/>
  <c r="W2708" i="34"/>
  <c r="W2710" i="34"/>
  <c r="W1988" i="34"/>
  <c r="W1996" i="34"/>
  <c r="W2003" i="34"/>
  <c r="W2011" i="34"/>
  <c r="W2019" i="34"/>
  <c r="W2027" i="34"/>
  <c r="W2035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48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363" i="34"/>
  <c r="W3365" i="34"/>
  <c r="W3367" i="34"/>
  <c r="W3369" i="34"/>
  <c r="W3371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3362" i="34"/>
  <c r="W3364" i="34"/>
  <c r="W3366" i="34"/>
  <c r="W3368" i="34"/>
  <c r="W3370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2" i="55"/>
  <c r="I412" i="55"/>
  <c r="I33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375" i="34"/>
  <c r="F13" i="79" s="1" a="1"/>
  <c r="F13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26" i="12" l="1" a="1"/>
  <c r="F26" i="12" s="1"/>
  <c r="H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G26" i="12" l="1"/>
  <c r="L15" i="55"/>
  <c r="H8" i="12"/>
  <c r="L310" i="55"/>
  <c r="L74" i="81"/>
  <c r="G8" i="12"/>
  <c r="L275" i="55"/>
  <c r="I17" i="79"/>
  <c r="H14" i="79"/>
  <c r="H18" i="79"/>
  <c r="L388" i="55"/>
  <c r="L334" i="55"/>
  <c r="H15" i="79"/>
  <c r="H55" i="70"/>
  <c r="G55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57" i="70"/>
  <c r="H57" i="70"/>
  <c r="H59" i="15" l="1"/>
  <c r="H61" i="15" s="1"/>
  <c r="I23" i="79"/>
  <c r="J23" i="79" s="1"/>
  <c r="H58" i="70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<sst xmlns="http://schemas.openxmlformats.org/spreadsheetml/2006/main" count="22910" uniqueCount="1596">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</sst>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0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1" activePane="bottomLeft" state="frozen"/>
      <selection activeCell="A6" sqref="A6"/>
      <selection pane="bottomLeft" activeCell="C63" sqref="C63"/>
    </sheetView>
  </sheetViews>
  <sheetFormatPr defaultColWidth="8" defaultRowHeight="12.75"/>
  <cols>
    <col min="1" max="1" width="5.7109375" style="601" customWidth="1"/>
    <col min="2" max="2" width="36.85546875" style="601" customWidth="1"/>
    <col min="3" max="3" width="14.7109375" style="162" customWidth="1"/>
    <col min="4" max="4" width="13.5703125" style="162" customWidth="1"/>
    <col min="5" max="6" width="14.7109375" style="601" customWidth="1"/>
    <col min="7" max="7" width="14.5703125" style="601" customWidth="1"/>
    <col min="8" max="8" width="13.85546875" style="601" customWidth="1"/>
    <col min="9" max="9" width="2.42578125" style="601" customWidth="1"/>
    <col min="10" max="10" width="11" style="601" customWidth="1"/>
    <col min="11" max="11" width="2.85546875" style="601" customWidth="1"/>
    <col min="12" max="12" width="11.85546875" style="601" customWidth="1"/>
    <col min="13" max="16384" width="8" style="601"/>
  </cols>
  <sheetData>
    <row r="1" spans="1:16">
      <c r="A1" s="600"/>
      <c r="B1" s="600"/>
    </row>
    <row r="2" spans="1:16">
      <c r="A2" s="600" t="str">
        <f>TH!A1</f>
        <v>Đơn vị: CÔNG TY TNHH SX TM KIM DUNG PHÁT</v>
      </c>
      <c r="B2" s="600"/>
    </row>
    <row r="3" spans="1:16">
      <c r="A3" s="601" t="str">
        <f>TH!A2</f>
        <v>Địa chỉ: 1A227/1 Ấp 1, Phạm Văn Hai, Bình Chánh, TPHCM</v>
      </c>
      <c r="B3" s="600"/>
    </row>
    <row r="5" spans="1:16" ht="36" customHeight="1">
      <c r="A5" s="602"/>
      <c r="B5" s="602"/>
      <c r="C5" s="603"/>
      <c r="D5" s="604" t="s">
        <v>354</v>
      </c>
      <c r="E5" s="602"/>
      <c r="F5" s="602"/>
      <c r="G5" s="602"/>
      <c r="H5" s="602"/>
    </row>
    <row r="6" spans="1:16" ht="15.75">
      <c r="A6" s="602"/>
      <c r="B6" s="602"/>
      <c r="C6" s="603"/>
      <c r="D6" s="625" t="s">
        <v>1104</v>
      </c>
      <c r="E6" s="602"/>
      <c r="F6" s="602"/>
      <c r="G6" s="602"/>
      <c r="H6" s="602"/>
    </row>
    <row r="7" spans="1:16" ht="6.75" customHeight="1"/>
    <row r="8" spans="1:16" ht="21.75" customHeight="1">
      <c r="A8" s="978" t="s">
        <v>415</v>
      </c>
      <c r="B8" s="978" t="s">
        <v>352</v>
      </c>
      <c r="C8" s="974" t="s">
        <v>37</v>
      </c>
      <c r="D8" s="975"/>
      <c r="E8" s="974" t="s">
        <v>38</v>
      </c>
      <c r="F8" s="975"/>
      <c r="G8" s="974" t="s">
        <v>353</v>
      </c>
      <c r="H8" s="975"/>
    </row>
    <row r="9" spans="1:16" ht="21.75" customHeight="1">
      <c r="A9" s="979"/>
      <c r="B9" s="979"/>
      <c r="C9" s="599" t="s">
        <v>42</v>
      </c>
      <c r="D9" s="599" t="s">
        <v>43</v>
      </c>
      <c r="E9" s="599" t="s">
        <v>42</v>
      </c>
      <c r="F9" s="599" t="s">
        <v>43</v>
      </c>
      <c r="G9" s="599" t="s">
        <v>42</v>
      </c>
      <c r="H9" s="599" t="s">
        <v>43</v>
      </c>
    </row>
    <row r="10" spans="1:16" s="162" customFormat="1" ht="17.25" customHeight="1">
      <c r="A10" s="605" t="s">
        <v>47</v>
      </c>
      <c r="B10" s="606" t="s">
        <v>48</v>
      </c>
      <c r="C10" s="607">
        <v>1823787091</v>
      </c>
      <c r="D10" s="607"/>
      <c r="E10" s="607">
        <f t="array" ref="E10">SUM(IF(A10=KHN,TH))</f>
        <v>4169374457</v>
      </c>
      <c r="F10" s="607">
        <f t="array" ref="F10">SUM(IF(A10=KHC,TH))</f>
        <v>4037012778</v>
      </c>
      <c r="G10" s="608">
        <f>MAX(C10+E10-D10-F10,0)</f>
        <v>1956148770</v>
      </c>
      <c r="H10" s="608">
        <f>MAX(D10+F10-E10-C10,0)</f>
        <v>0</v>
      </c>
      <c r="J10" s="601"/>
      <c r="K10" s="601"/>
      <c r="L10" s="601"/>
      <c r="M10" s="601"/>
      <c r="N10" s="601"/>
      <c r="O10" s="601"/>
      <c r="P10" s="601"/>
    </row>
    <row r="11" spans="1:16" s="162" customFormat="1" ht="17.25" customHeight="1">
      <c r="A11" s="610" t="s">
        <v>16</v>
      </c>
      <c r="B11" s="610" t="s">
        <v>49</v>
      </c>
      <c r="C11" s="611">
        <f t="shared" ref="C11:H11" si="0">C10</f>
        <v>1823787091</v>
      </c>
      <c r="D11" s="611">
        <f t="shared" si="0"/>
        <v>0</v>
      </c>
      <c r="E11" s="611">
        <f t="shared" si="0"/>
        <v>4169374457</v>
      </c>
      <c r="F11" s="611">
        <f t="shared" si="0"/>
        <v>4037012778</v>
      </c>
      <c r="G11" s="611">
        <f t="shared" si="0"/>
        <v>1956148770</v>
      </c>
      <c r="H11" s="611">
        <f t="shared" si="0"/>
        <v>0</v>
      </c>
      <c r="J11" s="601"/>
      <c r="K11" s="601"/>
      <c r="L11" s="601"/>
      <c r="M11" s="601"/>
      <c r="N11" s="601"/>
      <c r="O11" s="601"/>
      <c r="P11" s="601"/>
    </row>
    <row r="12" spans="1:16" s="162" customFormat="1" ht="17.25" customHeight="1">
      <c r="A12" s="606" t="s">
        <v>24</v>
      </c>
      <c r="B12" s="606" t="s">
        <v>50</v>
      </c>
      <c r="C12" s="607">
        <v>18107118</v>
      </c>
      <c r="D12" s="607">
        <v>0</v>
      </c>
      <c r="E12" s="607">
        <f t="array" ref="E12">SUM(IF(A12=KHN,TH))</f>
        <v>8731075046</v>
      </c>
      <c r="F12" s="607">
        <f t="array" ref="F12">SUM(IF(A12=KHC,TH))</f>
        <v>8636625595</v>
      </c>
      <c r="G12" s="608">
        <f>MAX(C12+E12-D12-F12,0)</f>
        <v>112556569</v>
      </c>
      <c r="H12" s="608">
        <f>MAX(D12+F12-E12-C12,0)</f>
        <v>0</v>
      </c>
      <c r="K12" s="609"/>
      <c r="L12" s="609"/>
      <c r="M12" s="609"/>
    </row>
    <row r="13" spans="1:16" s="162" customFormat="1" ht="17.25" customHeight="1">
      <c r="A13" s="610" t="s">
        <v>51</v>
      </c>
      <c r="B13" s="610" t="s">
        <v>52</v>
      </c>
      <c r="C13" s="611">
        <f t="shared" ref="C13:H13" si="1">C12</f>
        <v>18107118</v>
      </c>
      <c r="D13" s="611">
        <f t="shared" si="1"/>
        <v>0</v>
      </c>
      <c r="E13" s="611">
        <f t="shared" si="1"/>
        <v>8731075046</v>
      </c>
      <c r="F13" s="611">
        <f t="shared" si="1"/>
        <v>8636625595</v>
      </c>
      <c r="G13" s="611">
        <f t="shared" si="1"/>
        <v>112556569</v>
      </c>
      <c r="H13" s="611">
        <f t="shared" si="1"/>
        <v>0</v>
      </c>
    </row>
    <row r="14" spans="1:16" s="162" customFormat="1" ht="17.25" customHeight="1">
      <c r="A14" s="610" t="s">
        <v>259</v>
      </c>
      <c r="B14" s="610" t="s">
        <v>271</v>
      </c>
      <c r="C14" s="611">
        <v>2420564485</v>
      </c>
      <c r="D14" s="611"/>
      <c r="E14" s="612">
        <f t="array" ref="E14">SUM(IF(A14=KHN,TH))</f>
        <v>3943820631</v>
      </c>
      <c r="F14" s="612">
        <f t="array" ref="F14">SUM(IF(A14=KHC,TH))</f>
        <v>2118136826</v>
      </c>
      <c r="G14" s="611">
        <f>MAX(C14+E14-D14-F14,0)</f>
        <v>4246248290</v>
      </c>
      <c r="H14" s="611">
        <f>MAX(D14+F14-E14-C14,0)</f>
        <v>0</v>
      </c>
    </row>
    <row r="15" spans="1:16" s="162" customFormat="1" ht="17.25" customHeight="1">
      <c r="A15" s="606" t="s">
        <v>9</v>
      </c>
      <c r="B15" s="606" t="s">
        <v>53</v>
      </c>
      <c r="C15" s="607"/>
      <c r="D15" s="607">
        <v>0</v>
      </c>
      <c r="E15" s="607">
        <f t="array" ref="E15">SUM(IF(A15=KHN,TH))</f>
        <v>403238678</v>
      </c>
      <c r="F15" s="607">
        <f t="array" ref="F15">SUM(IF(A15=KHC,TH))</f>
        <v>358510598</v>
      </c>
      <c r="G15" s="608">
        <f>MAX(C15+E15-D15-F15,0)</f>
        <v>44728080</v>
      </c>
      <c r="H15" s="608">
        <f>MAX(D15+F15-E15-C15,0)</f>
        <v>0</v>
      </c>
    </row>
    <row r="16" spans="1:16" s="162" customFormat="1" ht="17.25" customHeight="1">
      <c r="A16" s="610" t="s">
        <v>54</v>
      </c>
      <c r="B16" s="610" t="s">
        <v>55</v>
      </c>
      <c r="C16" s="611">
        <f t="shared" ref="C16:H16" si="2">C15</f>
        <v>0</v>
      </c>
      <c r="D16" s="611">
        <f t="shared" si="2"/>
        <v>0</v>
      </c>
      <c r="E16" s="611">
        <f t="shared" si="2"/>
        <v>403238678</v>
      </c>
      <c r="F16" s="611">
        <f t="shared" si="2"/>
        <v>358510598</v>
      </c>
      <c r="G16" s="611">
        <f t="shared" si="2"/>
        <v>44728080</v>
      </c>
      <c r="H16" s="611">
        <f t="shared" si="2"/>
        <v>0</v>
      </c>
    </row>
    <row r="17" spans="1:8" s="162" customFormat="1" ht="17.25" customHeight="1">
      <c r="A17" s="606" t="s">
        <v>56</v>
      </c>
      <c r="B17" s="606" t="s">
        <v>57</v>
      </c>
      <c r="C17" s="607"/>
      <c r="D17" s="607"/>
      <c r="E17" s="607">
        <f t="array" ref="E17">SUM(IF(A17=KHN,TH))</f>
        <v>0</v>
      </c>
      <c r="F17" s="607">
        <f t="array" ref="F17">SUM(IF(A17=KHC,TH))</f>
        <v>0</v>
      </c>
      <c r="G17" s="608">
        <f t="shared" ref="G17:G32" si="3">MAX(C17+E17-D17-F17,0)</f>
        <v>0</v>
      </c>
      <c r="H17" s="608">
        <f t="shared" ref="H17:H32" si="4">MAX(D17+F17-E17-C17,0)</f>
        <v>0</v>
      </c>
    </row>
    <row r="18" spans="1:8" s="162" customFormat="1" ht="17.25" customHeight="1">
      <c r="A18" s="610" t="s">
        <v>58</v>
      </c>
      <c r="B18" s="610" t="s">
        <v>59</v>
      </c>
      <c r="C18" s="611">
        <f>C17</f>
        <v>0</v>
      </c>
      <c r="D18" s="611">
        <f>D17</f>
        <v>0</v>
      </c>
      <c r="E18" s="611">
        <f>E17</f>
        <v>0</v>
      </c>
      <c r="F18" s="611">
        <f>F17</f>
        <v>0</v>
      </c>
      <c r="G18" s="611">
        <f t="shared" si="3"/>
        <v>0</v>
      </c>
      <c r="H18" s="611">
        <f t="shared" si="4"/>
        <v>0</v>
      </c>
    </row>
    <row r="19" spans="1:8" s="162" customFormat="1" ht="17.25" customHeight="1">
      <c r="A19" s="606" t="s">
        <v>159</v>
      </c>
      <c r="B19" s="606" t="s">
        <v>160</v>
      </c>
      <c r="C19" s="607">
        <v>608505300</v>
      </c>
      <c r="D19" s="607"/>
      <c r="E19" s="607">
        <f t="array" ref="E19">SUM(IF(A19=KHN,TH))</f>
        <v>2424883680</v>
      </c>
      <c r="F19" s="607">
        <f t="array" ref="F19">SUM(IF(A19=KHC,TH))</f>
        <v>2343697680</v>
      </c>
      <c r="G19" s="608">
        <f t="shared" si="3"/>
        <v>689691300</v>
      </c>
      <c r="H19" s="608">
        <f t="shared" si="4"/>
        <v>0</v>
      </c>
    </row>
    <row r="20" spans="1:8" s="162" customFormat="1" ht="17.25" customHeight="1">
      <c r="A20" s="606" t="s">
        <v>161</v>
      </c>
      <c r="B20" s="606" t="s">
        <v>162</v>
      </c>
      <c r="C20" s="607"/>
      <c r="D20" s="607"/>
      <c r="E20" s="607">
        <f t="array" ref="E20">SUM(IF(A20=KHN,TH))</f>
        <v>64388000</v>
      </c>
      <c r="F20" s="607">
        <f t="array" ref="F20">SUM(IF(A20=KHC,TH))</f>
        <v>64035200</v>
      </c>
      <c r="G20" s="607">
        <f t="shared" si="3"/>
        <v>352800</v>
      </c>
      <c r="H20" s="607">
        <f t="shared" si="4"/>
        <v>0</v>
      </c>
    </row>
    <row r="21" spans="1:8" s="162" customFormat="1" ht="17.25" customHeight="1">
      <c r="A21" s="610" t="s">
        <v>163</v>
      </c>
      <c r="B21" s="610" t="s">
        <v>164</v>
      </c>
      <c r="C21" s="611">
        <f>C19+C20</f>
        <v>608505300</v>
      </c>
      <c r="D21" s="611">
        <f>D19+D20</f>
        <v>0</v>
      </c>
      <c r="E21" s="611">
        <f>E19+E20</f>
        <v>2489271680</v>
      </c>
      <c r="F21" s="611">
        <f>F19+F20</f>
        <v>2407732880</v>
      </c>
      <c r="G21" s="611">
        <f t="shared" si="3"/>
        <v>690044100</v>
      </c>
      <c r="H21" s="611">
        <f t="shared" si="4"/>
        <v>0</v>
      </c>
    </row>
    <row r="22" spans="1:8" s="162" customFormat="1" ht="17.25" customHeight="1">
      <c r="A22" s="610" t="s">
        <v>165</v>
      </c>
      <c r="B22" s="610" t="s">
        <v>166</v>
      </c>
      <c r="C22" s="611"/>
      <c r="D22" s="611">
        <v>0</v>
      </c>
      <c r="E22" s="612">
        <f t="array" ref="E22">SUM(IF(A22=KHN,TH))</f>
        <v>2682206880</v>
      </c>
      <c r="F22" s="612">
        <f t="array" ref="F22">SUM(IF(A22=KHC,TH))</f>
        <v>2682206880</v>
      </c>
      <c r="G22" s="611">
        <f t="shared" si="3"/>
        <v>0</v>
      </c>
      <c r="H22" s="611">
        <f t="shared" si="4"/>
        <v>0</v>
      </c>
    </row>
    <row r="23" spans="1:8" s="162" customFormat="1" ht="17.25" customHeight="1">
      <c r="A23" s="610" t="s">
        <v>167</v>
      </c>
      <c r="B23" s="610" t="s">
        <v>168</v>
      </c>
      <c r="C23" s="611"/>
      <c r="D23" s="611"/>
      <c r="E23" s="612">
        <f t="array" ref="E23">SUM(IF(A23=KHN,TH))</f>
        <v>2682206880</v>
      </c>
      <c r="F23" s="612">
        <f t="array" ref="F23">SUM(IF(A23=KHC,TH))</f>
        <v>2682206880</v>
      </c>
      <c r="G23" s="611">
        <f t="shared" si="3"/>
        <v>0</v>
      </c>
      <c r="H23" s="611">
        <f t="shared" si="4"/>
        <v>0</v>
      </c>
    </row>
    <row r="24" spans="1:8" s="162" customFormat="1" ht="17.25" customHeight="1">
      <c r="A24" s="613" t="s">
        <v>169</v>
      </c>
      <c r="B24" s="614" t="s">
        <v>745</v>
      </c>
      <c r="C24" s="615">
        <v>1365000000</v>
      </c>
      <c r="D24" s="615"/>
      <c r="E24" s="607">
        <f t="array" ref="E24">SUM(IF(A24=KHN,TH))</f>
        <v>0</v>
      </c>
      <c r="F24" s="607">
        <f t="array" ref="F24">SUM(IF(A24=KHC,TH))</f>
        <v>865000000</v>
      </c>
      <c r="G24" s="615">
        <f t="shared" si="3"/>
        <v>500000000</v>
      </c>
      <c r="H24" s="615">
        <f t="shared" si="4"/>
        <v>0</v>
      </c>
    </row>
    <row r="25" spans="1:8" s="162" customFormat="1" ht="17.25" customHeight="1">
      <c r="A25" s="610" t="s">
        <v>170</v>
      </c>
      <c r="B25" s="610" t="s">
        <v>171</v>
      </c>
      <c r="C25" s="611">
        <f t="shared" ref="C25:H25" si="5">SUM(C24:C24)</f>
        <v>1365000000</v>
      </c>
      <c r="D25" s="611">
        <f t="shared" si="5"/>
        <v>0</v>
      </c>
      <c r="E25" s="611">
        <f t="shared" si="5"/>
        <v>0</v>
      </c>
      <c r="F25" s="611">
        <f t="shared" si="5"/>
        <v>865000000</v>
      </c>
      <c r="G25" s="611">
        <f t="shared" si="5"/>
        <v>500000000</v>
      </c>
      <c r="H25" s="611">
        <f t="shared" si="5"/>
        <v>0</v>
      </c>
    </row>
    <row r="26" spans="1:8" s="162" customFormat="1" ht="17.25" customHeight="1">
      <c r="A26" s="606" t="s">
        <v>260</v>
      </c>
      <c r="B26" s="606" t="s">
        <v>268</v>
      </c>
      <c r="C26" s="607"/>
      <c r="D26" s="607">
        <v>404250000</v>
      </c>
      <c r="E26" s="607">
        <f t="array" ref="E26">SUM(IF(A26=KHN,TH))</f>
        <v>1036363636</v>
      </c>
      <c r="F26" s="607">
        <f t="array" ref="F26">SUM(IF(A26=KHC,TH))</f>
        <v>73250000</v>
      </c>
      <c r="G26" s="607">
        <f>MAX(C26+E26-D26-F26,0)</f>
        <v>558863636</v>
      </c>
      <c r="H26" s="607">
        <f>MAX(D26+F26-E26-C26,0)</f>
        <v>0</v>
      </c>
    </row>
    <row r="27" spans="1:8" s="162" customFormat="1" ht="17.25" customHeight="1">
      <c r="A27" s="610" t="s">
        <v>269</v>
      </c>
      <c r="B27" s="610" t="s">
        <v>270</v>
      </c>
      <c r="C27" s="611">
        <f>C26</f>
        <v>0</v>
      </c>
      <c r="D27" s="611">
        <f t="shared" ref="D27:H27" si="6">D26</f>
        <v>404250000</v>
      </c>
      <c r="E27" s="611">
        <f t="shared" si="6"/>
        <v>1036363636</v>
      </c>
      <c r="F27" s="611">
        <f t="shared" si="6"/>
        <v>73250000</v>
      </c>
      <c r="G27" s="611">
        <f t="shared" si="6"/>
        <v>558863636</v>
      </c>
      <c r="H27" s="611">
        <f t="shared" si="6"/>
        <v>0</v>
      </c>
    </row>
    <row r="28" spans="1:8" s="162" customFormat="1" ht="17.25" customHeight="1">
      <c r="A28" s="610" t="s">
        <v>8</v>
      </c>
      <c r="B28" s="610" t="s">
        <v>60</v>
      </c>
      <c r="C28" s="611"/>
      <c r="D28" s="611">
        <v>1931571140</v>
      </c>
      <c r="E28" s="612">
        <f t="array" ref="E28">SUM(IF(A28=KHN,TH))</f>
        <v>2437590943</v>
      </c>
      <c r="F28" s="612">
        <f t="array" ref="F28">SUM(IF(A28=KHC,TH))</f>
        <v>3580880178</v>
      </c>
      <c r="G28" s="611">
        <f t="shared" si="3"/>
        <v>0</v>
      </c>
      <c r="H28" s="611">
        <f t="shared" si="4"/>
        <v>3074860375</v>
      </c>
    </row>
    <row r="29" spans="1:8" s="162" customFormat="1" ht="17.25" customHeight="1">
      <c r="A29" s="617" t="s">
        <v>370</v>
      </c>
      <c r="B29" s="606" t="s">
        <v>369</v>
      </c>
      <c r="C29" s="607"/>
      <c r="D29" s="607"/>
      <c r="E29" s="607">
        <f t="array" ref="E29">SUM(IF(A29=KHN,TH))</f>
        <v>358510598</v>
      </c>
      <c r="F29" s="607">
        <f t="array" ref="F29">SUM(IF(A29=KHC,TH))</f>
        <v>358510598</v>
      </c>
      <c r="G29" s="607">
        <f t="shared" ref="G29" si="7">MAX(C29+E29-D29-F29,0)</f>
        <v>0</v>
      </c>
      <c r="H29" s="607">
        <f t="shared" ref="H29" si="8">MAX(D29+F29-E29-C29,0)</f>
        <v>0</v>
      </c>
    </row>
    <row r="30" spans="1:8" s="162" customFormat="1" ht="17.25" customHeight="1">
      <c r="A30" s="606" t="s">
        <v>61</v>
      </c>
      <c r="B30" s="606" t="s">
        <v>62</v>
      </c>
      <c r="C30" s="607"/>
      <c r="D30" s="607"/>
      <c r="E30" s="607">
        <f t="array" ref="E30">SUM(IF(A30=KHN,TH))</f>
        <v>0</v>
      </c>
      <c r="F30" s="607">
        <f t="array" ref="F30">SUM(IF(A30=KHC,TH))</f>
        <v>0</v>
      </c>
      <c r="G30" s="607">
        <f t="shared" si="3"/>
        <v>0</v>
      </c>
      <c r="H30" s="607">
        <f t="shared" si="4"/>
        <v>0</v>
      </c>
    </row>
    <row r="31" spans="1:8" s="162" customFormat="1" ht="17.25" customHeight="1">
      <c r="A31" s="606" t="s">
        <v>266</v>
      </c>
      <c r="B31" s="606" t="s">
        <v>267</v>
      </c>
      <c r="C31" s="607"/>
      <c r="D31" s="607"/>
      <c r="E31" s="607">
        <f t="array" ref="E31">SUM(IF(A31=KHN,TH))</f>
        <v>0</v>
      </c>
      <c r="F31" s="607">
        <f t="array" ref="F31">SUM(IF(A31=KHC,TH))</f>
        <v>0</v>
      </c>
      <c r="G31" s="607">
        <f t="shared" si="3"/>
        <v>0</v>
      </c>
      <c r="H31" s="607">
        <f t="shared" si="4"/>
        <v>0</v>
      </c>
    </row>
    <row r="32" spans="1:8" s="162" customFormat="1" ht="17.25" customHeight="1">
      <c r="A32" s="617" t="s">
        <v>63</v>
      </c>
      <c r="B32" s="618" t="s">
        <v>64</v>
      </c>
      <c r="C32" s="619"/>
      <c r="D32" s="619"/>
      <c r="E32" s="619">
        <f t="array" ref="E32">SUM(IF(A32=KHN,TH))</f>
        <v>1000000</v>
      </c>
      <c r="F32" s="619">
        <f t="array" ref="F32">SUM(IF(A32=KHC,TH))</f>
        <v>1000000</v>
      </c>
      <c r="G32" s="619">
        <f t="shared" si="3"/>
        <v>0</v>
      </c>
      <c r="H32" s="619">
        <f t="shared" si="4"/>
        <v>0</v>
      </c>
    </row>
    <row r="33" spans="1:10" s="162" customFormat="1" ht="17.25" customHeight="1">
      <c r="A33" s="606" t="s">
        <v>18</v>
      </c>
      <c r="B33" s="606" t="s">
        <v>65</v>
      </c>
      <c r="C33" s="607">
        <f>C32</f>
        <v>0</v>
      </c>
      <c r="D33" s="607">
        <f t="shared" ref="D33:H33" si="9">D32</f>
        <v>0</v>
      </c>
      <c r="E33" s="607">
        <f t="shared" si="9"/>
        <v>1000000</v>
      </c>
      <c r="F33" s="607">
        <f t="shared" si="9"/>
        <v>1000000</v>
      </c>
      <c r="G33" s="607">
        <f t="shared" si="9"/>
        <v>0</v>
      </c>
      <c r="H33" s="607">
        <f t="shared" si="9"/>
        <v>0</v>
      </c>
    </row>
    <row r="34" spans="1:10" s="162" customFormat="1" ht="17.25" customHeight="1">
      <c r="A34" s="610" t="s">
        <v>66</v>
      </c>
      <c r="B34" s="610" t="s">
        <v>67</v>
      </c>
      <c r="C34" s="611">
        <f>C30+C33+C31+C29</f>
        <v>0</v>
      </c>
      <c r="D34" s="611">
        <f t="shared" ref="D34:H34" si="10">D30+D33+D31+D29</f>
        <v>0</v>
      </c>
      <c r="E34" s="611">
        <f t="shared" si="10"/>
        <v>359510598</v>
      </c>
      <c r="F34" s="611">
        <f t="shared" si="10"/>
        <v>359510598</v>
      </c>
      <c r="G34" s="611">
        <f t="shared" si="10"/>
        <v>0</v>
      </c>
      <c r="H34" s="611">
        <f t="shared" si="10"/>
        <v>0</v>
      </c>
    </row>
    <row r="35" spans="1:10" s="162" customFormat="1" ht="17.25" customHeight="1">
      <c r="A35" s="606" t="s">
        <v>262</v>
      </c>
      <c r="B35" s="606" t="s">
        <v>263</v>
      </c>
      <c r="C35" s="607">
        <v>0</v>
      </c>
      <c r="D35" s="607">
        <v>0</v>
      </c>
      <c r="E35" s="607">
        <f t="array" ref="E35">SUM(IF(A35=KHN,TH))</f>
        <v>301635000</v>
      </c>
      <c r="F35" s="607">
        <f t="array" ref="F35">SUM(IF(A35=KHC,TH))</f>
        <v>301635000</v>
      </c>
      <c r="G35" s="607">
        <f t="shared" ref="G35:G37" si="11">MAX(C35+E35-D35-F35,0)</f>
        <v>0</v>
      </c>
      <c r="H35" s="607">
        <f t="shared" ref="H35:H37" si="12">MAX(D35+F35-E35-C35,0)</f>
        <v>0</v>
      </c>
    </row>
    <row r="36" spans="1:10" s="162" customFormat="1" ht="17.25" customHeight="1">
      <c r="A36" s="610" t="s">
        <v>264</v>
      </c>
      <c r="B36" s="610" t="s">
        <v>265</v>
      </c>
      <c r="C36" s="611">
        <f>C35</f>
        <v>0</v>
      </c>
      <c r="D36" s="611">
        <f>D35</f>
        <v>0</v>
      </c>
      <c r="E36" s="611">
        <f>E35</f>
        <v>301635000</v>
      </c>
      <c r="F36" s="611">
        <f>F35</f>
        <v>301635000</v>
      </c>
      <c r="G36" s="611">
        <f t="shared" si="11"/>
        <v>0</v>
      </c>
      <c r="H36" s="611">
        <f t="shared" si="12"/>
        <v>0</v>
      </c>
    </row>
    <row r="37" spans="1:10" s="162" customFormat="1" ht="17.25" customHeight="1">
      <c r="A37" s="606" t="s">
        <v>17</v>
      </c>
      <c r="B37" s="606" t="s">
        <v>68</v>
      </c>
      <c r="C37" s="607"/>
      <c r="D37" s="607">
        <v>113654908</v>
      </c>
      <c r="E37" s="607">
        <f t="array" ref="E37">SUM(IF(A37=KHN,TH))</f>
        <v>0</v>
      </c>
      <c r="F37" s="607">
        <f t="array" ref="F37">SUM(IF(A37=KHC,TH))</f>
        <v>74403233</v>
      </c>
      <c r="G37" s="607">
        <f t="shared" si="11"/>
        <v>0</v>
      </c>
      <c r="H37" s="607">
        <f t="shared" si="12"/>
        <v>188058141</v>
      </c>
    </row>
    <row r="38" spans="1:10" s="162" customFormat="1" ht="17.25" customHeight="1">
      <c r="A38" s="610" t="s">
        <v>69</v>
      </c>
      <c r="B38" s="610" t="s">
        <v>70</v>
      </c>
      <c r="C38" s="611">
        <f t="shared" ref="C38:H38" si="13">SUM(C37:C37)</f>
        <v>0</v>
      </c>
      <c r="D38" s="611">
        <f t="shared" si="13"/>
        <v>113654908</v>
      </c>
      <c r="E38" s="611">
        <f t="shared" si="13"/>
        <v>0</v>
      </c>
      <c r="F38" s="611">
        <f t="shared" si="13"/>
        <v>74403233</v>
      </c>
      <c r="G38" s="611">
        <f t="shared" si="13"/>
        <v>0</v>
      </c>
      <c r="H38" s="611">
        <f t="shared" si="13"/>
        <v>188058141</v>
      </c>
    </row>
    <row r="39" spans="1:10" s="862" customFormat="1" ht="13.5">
      <c r="A39" s="858" t="s">
        <v>786</v>
      </c>
      <c r="B39" s="859" t="s">
        <v>789</v>
      </c>
      <c r="C39" s="860"/>
      <c r="D39" s="860">
        <v>1814423000</v>
      </c>
      <c r="E39" s="861">
        <f t="array" ref="E39">SUM(IF(A39=KHN,TH))</f>
        <v>2213572000</v>
      </c>
      <c r="F39" s="861">
        <f t="array" ref="F39">SUM(IF(A39=KHC,TH))</f>
        <v>399149000</v>
      </c>
      <c r="G39" s="860">
        <f>MAX(C39+E39-D39-F39,0)</f>
        <v>0</v>
      </c>
      <c r="H39" s="860">
        <f>MAX(D39+F39-E39-C39,0)</f>
        <v>0</v>
      </c>
    </row>
    <row r="40" spans="1:10" s="862" customFormat="1" ht="13.5">
      <c r="A40" s="858" t="s">
        <v>790</v>
      </c>
      <c r="B40" s="859" t="s">
        <v>791</v>
      </c>
      <c r="C40" s="861"/>
      <c r="D40" s="861"/>
      <c r="E40" s="861">
        <f t="array" ref="E40">SUM(IF(A40=KHN,TH))</f>
        <v>240000000</v>
      </c>
      <c r="F40" s="861">
        <f t="array" ref="F40">SUM(IF(A40=KHC,TH))</f>
        <v>3130000000</v>
      </c>
      <c r="G40" s="861">
        <f>MAX(C40+E40-D40-F40,0)</f>
        <v>0</v>
      </c>
      <c r="H40" s="861">
        <f>MAX(D40+F40-E40-C40,0)</f>
        <v>2890000000</v>
      </c>
    </row>
    <row r="41" spans="1:10" s="862" customFormat="1" ht="13.5">
      <c r="A41" s="863" t="s">
        <v>783</v>
      </c>
      <c r="B41" s="864" t="s">
        <v>792</v>
      </c>
      <c r="C41" s="865">
        <f t="shared" ref="C41:H41" si="14">SUM(C39:C40)</f>
        <v>0</v>
      </c>
      <c r="D41" s="865">
        <f t="shared" si="14"/>
        <v>1814423000</v>
      </c>
      <c r="E41" s="865">
        <f t="shared" si="14"/>
        <v>2453572000</v>
      </c>
      <c r="F41" s="865">
        <f t="shared" si="14"/>
        <v>3529149000</v>
      </c>
      <c r="G41" s="865">
        <f t="shared" si="14"/>
        <v>0</v>
      </c>
      <c r="H41" s="865">
        <f t="shared" si="14"/>
        <v>2890000000</v>
      </c>
    </row>
    <row r="42" spans="1:10" s="162" customFormat="1" ht="17.25" customHeight="1">
      <c r="A42" s="606" t="s">
        <v>25</v>
      </c>
      <c r="B42" s="606" t="s">
        <v>71</v>
      </c>
      <c r="C42" s="607"/>
      <c r="D42" s="905">
        <v>1900000000</v>
      </c>
      <c r="E42" s="607">
        <f t="array" ref="E42">SUM(IF(A42=KHN,TH))</f>
        <v>0</v>
      </c>
      <c r="F42" s="607">
        <f t="array" ref="F42">SUM(IF(A42=KHC,TH))</f>
        <v>0</v>
      </c>
      <c r="G42" s="608">
        <f>MAX(C42+E42-D42-F42,0)</f>
        <v>0</v>
      </c>
      <c r="H42" s="608">
        <f>MAX(D42+F42-E42-C42,0)</f>
        <v>1900000000</v>
      </c>
    </row>
    <row r="43" spans="1:10" s="162" customFormat="1" ht="17.25" customHeight="1">
      <c r="A43" s="610" t="s">
        <v>72</v>
      </c>
      <c r="B43" s="610" t="s">
        <v>73</v>
      </c>
      <c r="C43" s="611">
        <v>0</v>
      </c>
      <c r="D43" s="611">
        <f>D42</f>
        <v>1900000000</v>
      </c>
      <c r="E43" s="611">
        <f>E42</f>
        <v>0</v>
      </c>
      <c r="F43" s="611">
        <f>F42</f>
        <v>0</v>
      </c>
      <c r="G43" s="611">
        <f>MAX(C43+E43-D43-F43,0)</f>
        <v>0</v>
      </c>
      <c r="H43" s="611">
        <f>MAX(D43+F43-E43-C43,0)</f>
        <v>1900000000</v>
      </c>
    </row>
    <row r="44" spans="1:10" s="162" customFormat="1" ht="17.25" customHeight="1">
      <c r="A44" s="605" t="s">
        <v>74</v>
      </c>
      <c r="B44" s="606" t="s">
        <v>75</v>
      </c>
      <c r="C44" s="607"/>
      <c r="D44" s="607">
        <v>72064946</v>
      </c>
      <c r="E44" s="607">
        <f t="array" ref="E44">SUM(IF(A44=KHN,TH))</f>
        <v>0</v>
      </c>
      <c r="F44" s="607">
        <f t="array" ref="F44">SUM(IF(A44=KHC,TH))</f>
        <v>0</v>
      </c>
      <c r="G44" s="608">
        <f>MAX(C44+E44-D44-F44,0)</f>
        <v>0</v>
      </c>
      <c r="H44" s="608">
        <f>MAX(D44+F44-E44-C44,0)</f>
        <v>72064946</v>
      </c>
    </row>
    <row r="45" spans="1:10" s="162" customFormat="1" ht="17.25" customHeight="1">
      <c r="A45" s="606" t="s">
        <v>76</v>
      </c>
      <c r="B45" s="606" t="s">
        <v>77</v>
      </c>
      <c r="C45" s="607"/>
      <c r="D45" s="607"/>
      <c r="E45" s="607">
        <f t="array" ref="E45">SUM(IF(A45=TH!$L$10:$L$3371,TH!$K$10:$K$3371))</f>
        <v>0</v>
      </c>
      <c r="F45" s="607">
        <f t="array" ref="F45">SUM(IF(A45=TH!$M$10:$M$3371,TH!$K$10:$K$3371))</f>
        <v>0</v>
      </c>
      <c r="G45" s="607">
        <f>MAX(C45+E45-D45-F45,0)</f>
        <v>0</v>
      </c>
      <c r="H45" s="607">
        <f>MAX(D45+F45-E45-C45,0)</f>
        <v>0</v>
      </c>
      <c r="J45" s="287"/>
    </row>
    <row r="46" spans="1:10" s="162" customFormat="1" ht="17.25" customHeight="1">
      <c r="A46" s="610" t="s">
        <v>78</v>
      </c>
      <c r="B46" s="610" t="s">
        <v>79</v>
      </c>
      <c r="C46" s="611">
        <f t="shared" ref="C46:H46" si="15">C45+C44</f>
        <v>0</v>
      </c>
      <c r="D46" s="611">
        <f t="shared" si="15"/>
        <v>72064946</v>
      </c>
      <c r="E46" s="611">
        <f t="shared" si="15"/>
        <v>0</v>
      </c>
      <c r="F46" s="611">
        <f t="shared" si="15"/>
        <v>0</v>
      </c>
      <c r="G46" s="611">
        <f t="shared" si="15"/>
        <v>0</v>
      </c>
      <c r="H46" s="611">
        <f t="shared" si="15"/>
        <v>72064946</v>
      </c>
    </row>
    <row r="47" spans="1:10" s="162" customFormat="1" ht="17.25" customHeight="1">
      <c r="A47" s="605" t="s">
        <v>1392</v>
      </c>
      <c r="B47" s="606" t="s">
        <v>1393</v>
      </c>
      <c r="C47" s="607"/>
      <c r="D47" s="607"/>
      <c r="E47" s="607">
        <f t="array" ref="E47">SUM(IF(A47=KHN,TH))</f>
        <v>12319600</v>
      </c>
      <c r="F47" s="607">
        <f t="array" ref="F47">SUM(IF(A47=KHC,TH))</f>
        <v>12319600</v>
      </c>
      <c r="G47" s="607"/>
      <c r="H47" s="607"/>
      <c r="I47" s="162">
        <f>E47-F47</f>
        <v>0</v>
      </c>
    </row>
    <row r="48" spans="1:10" s="162" customFormat="1" ht="17.25" customHeight="1">
      <c r="A48" s="605" t="s">
        <v>174</v>
      </c>
      <c r="B48" s="606" t="s">
        <v>175</v>
      </c>
      <c r="C48" s="607"/>
      <c r="D48" s="607"/>
      <c r="E48" s="607">
        <f t="array" ref="E48">SUM(IF(A48=KHN,TH))</f>
        <v>2732990433</v>
      </c>
      <c r="F48" s="607">
        <f t="array" ref="F48">SUM(IF(A48=KHC,TH))</f>
        <v>2732990433</v>
      </c>
      <c r="G48" s="607"/>
      <c r="H48" s="607"/>
      <c r="I48" s="162">
        <f>E48-F48</f>
        <v>0</v>
      </c>
    </row>
    <row r="49" spans="1:9" s="162" customFormat="1" ht="17.25" customHeight="1">
      <c r="A49" s="610" t="s">
        <v>176</v>
      </c>
      <c r="B49" s="610" t="s">
        <v>177</v>
      </c>
      <c r="C49" s="611">
        <f>C47+C48</f>
        <v>0</v>
      </c>
      <c r="D49" s="611">
        <f t="shared" ref="D49:H49" si="16">D47+D48</f>
        <v>0</v>
      </c>
      <c r="E49" s="611">
        <f t="shared" si="16"/>
        <v>2745310033</v>
      </c>
      <c r="F49" s="611">
        <f t="shared" si="16"/>
        <v>2745310033</v>
      </c>
      <c r="G49" s="611">
        <f t="shared" si="16"/>
        <v>0</v>
      </c>
      <c r="H49" s="611">
        <f t="shared" si="16"/>
        <v>0</v>
      </c>
      <c r="I49" s="162">
        <f>E49-F49</f>
        <v>0</v>
      </c>
    </row>
    <row r="50" spans="1:9" s="162" customFormat="1" ht="17.25" customHeight="1">
      <c r="A50" s="610" t="s">
        <v>40</v>
      </c>
      <c r="B50" s="610" t="s">
        <v>80</v>
      </c>
      <c r="C50" s="611"/>
      <c r="D50" s="611"/>
      <c r="E50" s="612">
        <f t="array" ref="E50">SUM(IF(A50=KHN,TH))</f>
        <v>43470</v>
      </c>
      <c r="F50" s="612">
        <f t="array" ref="F50">SUM(IF(A50=KHC,TH))</f>
        <v>43470</v>
      </c>
      <c r="G50" s="611"/>
      <c r="H50" s="611"/>
      <c r="I50" s="162">
        <f t="shared" ref="I50:I58" si="17">E50-F50</f>
        <v>0</v>
      </c>
    </row>
    <row r="51" spans="1:9" s="162" customFormat="1" ht="17.25" customHeight="1">
      <c r="A51" s="610" t="s">
        <v>172</v>
      </c>
      <c r="B51" s="610" t="s">
        <v>173</v>
      </c>
      <c r="C51" s="611"/>
      <c r="D51" s="611"/>
      <c r="E51" s="612">
        <f t="array" ref="E51">SUM(IF(A51=KHN,TH))</f>
        <v>2726702880</v>
      </c>
      <c r="F51" s="612">
        <f t="array" ref="F51">SUM(IF(A51=KHC,TH))</f>
        <v>2726702880</v>
      </c>
      <c r="G51" s="611"/>
      <c r="H51" s="611"/>
      <c r="I51" s="162">
        <f t="shared" si="17"/>
        <v>0</v>
      </c>
    </row>
    <row r="52" spans="1:9" s="162" customFormat="1" ht="17.25" customHeight="1">
      <c r="A52" s="610" t="s">
        <v>81</v>
      </c>
      <c r="B52" s="610" t="s">
        <v>82</v>
      </c>
      <c r="C52" s="611"/>
      <c r="D52" s="611"/>
      <c r="E52" s="612">
        <f t="array" ref="E52">SUM(IF(A52=KHN,TH))</f>
        <v>189277534</v>
      </c>
      <c r="F52" s="612">
        <f t="array" ref="F52">SUM(IF(A52=KHC,TH))</f>
        <v>189277534</v>
      </c>
      <c r="G52" s="611"/>
      <c r="H52" s="611"/>
      <c r="I52" s="162">
        <f t="shared" si="17"/>
        <v>0</v>
      </c>
    </row>
    <row r="53" spans="1:9" s="162" customFormat="1" ht="17.25" customHeight="1">
      <c r="A53" s="616" t="s">
        <v>261</v>
      </c>
      <c r="B53" s="610" t="s">
        <v>329</v>
      </c>
      <c r="C53" s="611"/>
      <c r="D53" s="611"/>
      <c r="E53" s="612">
        <f t="array" ref="E53">SUM(IF(A53=KHN,TH))</f>
        <v>0</v>
      </c>
      <c r="F53" s="612">
        <f t="array" ref="F53">SUM(IF(A53=KHC,TH))</f>
        <v>0</v>
      </c>
      <c r="G53" s="611"/>
      <c r="H53" s="611"/>
      <c r="I53" s="162">
        <f>E53-F53</f>
        <v>0</v>
      </c>
    </row>
    <row r="54" spans="1:9" s="162" customFormat="1" ht="17.25" customHeight="1">
      <c r="A54" s="610" t="s">
        <v>83</v>
      </c>
      <c r="B54" s="610" t="s">
        <v>84</v>
      </c>
      <c r="C54" s="611"/>
      <c r="D54" s="611"/>
      <c r="E54" s="612">
        <f t="array" ref="E54">SUM(IF(A54=KHN,TH))</f>
        <v>235767106</v>
      </c>
      <c r="F54" s="612">
        <f t="array" ref="F54">SUM(IF(A54=KHC,TH))</f>
        <v>235767106</v>
      </c>
      <c r="G54" s="611"/>
      <c r="H54" s="611"/>
      <c r="I54" s="162">
        <f t="shared" si="17"/>
        <v>0</v>
      </c>
    </row>
    <row r="55" spans="1:9" s="162" customFormat="1" ht="17.25" customHeight="1">
      <c r="A55" s="616" t="s">
        <v>85</v>
      </c>
      <c r="B55" s="610" t="s">
        <v>86</v>
      </c>
      <c r="C55" s="611"/>
      <c r="D55" s="611"/>
      <c r="E55" s="612">
        <f t="array" ref="E55">SUM(IF(A55=KHN,TH))</f>
        <v>840000000</v>
      </c>
      <c r="F55" s="612">
        <f t="array" ref="F55">SUM(IF(A55=KHC,TH))</f>
        <v>840000000</v>
      </c>
      <c r="G55" s="611"/>
      <c r="H55" s="611"/>
      <c r="I55" s="162">
        <f t="shared" si="17"/>
        <v>0</v>
      </c>
    </row>
    <row r="56" spans="1:9" s="162" customFormat="1" ht="17.25" customHeight="1">
      <c r="A56" s="610" t="s">
        <v>87</v>
      </c>
      <c r="B56" s="610" t="s">
        <v>88</v>
      </c>
      <c r="C56" s="611"/>
      <c r="D56" s="611"/>
      <c r="E56" s="612">
        <f t="array" ref="E56">SUM(IF(A56=KHN,TH))</f>
        <v>450000000</v>
      </c>
      <c r="F56" s="612">
        <f t="array" ref="F56">SUM(IF(A56=KHC,TH))</f>
        <v>450000000</v>
      </c>
      <c r="G56" s="611"/>
      <c r="H56" s="611"/>
      <c r="I56" s="162">
        <f t="shared" si="17"/>
        <v>0</v>
      </c>
    </row>
    <row r="57" spans="1:9" s="162" customFormat="1" ht="17.25" customHeight="1">
      <c r="A57" s="616" t="s">
        <v>89</v>
      </c>
      <c r="B57" s="610" t="s">
        <v>90</v>
      </c>
      <c r="C57" s="611"/>
      <c r="D57" s="611"/>
      <c r="E57" s="612">
        <f t="array" ref="E57">SUM(IF(A57=KHN,TH))</f>
        <v>0</v>
      </c>
      <c r="F57" s="612">
        <f t="array" ref="F57">SUM(IF(A57=KHC,TH))</f>
        <v>0</v>
      </c>
      <c r="G57" s="611"/>
      <c r="H57" s="611"/>
      <c r="I57" s="162">
        <f t="shared" si="17"/>
        <v>0</v>
      </c>
    </row>
    <row r="58" spans="1:9" s="162" customFormat="1" ht="17.25" customHeight="1">
      <c r="A58" s="610" t="s">
        <v>91</v>
      </c>
      <c r="B58" s="610" t="s">
        <v>92</v>
      </c>
      <c r="C58" s="611"/>
      <c r="D58" s="611"/>
      <c r="E58" s="620">
        <f t="array" ref="E58">SUM(IF(A58=KHN,TH))</f>
        <v>3601747520</v>
      </c>
      <c r="F58" s="620">
        <f t="array" ref="F58">SUM(IF(A58=TH!$M$10:$M$3371,TH!$K$10:$K$3371))</f>
        <v>3585353503</v>
      </c>
      <c r="G58" s="611"/>
      <c r="H58" s="611"/>
      <c r="I58" s="162">
        <f t="shared" si="17"/>
        <v>16394017</v>
      </c>
    </row>
    <row r="59" spans="1:9" s="162" customFormat="1" ht="17.25" customHeight="1">
      <c r="A59" s="976" t="s">
        <v>39</v>
      </c>
      <c r="B59" s="977"/>
      <c r="C59" s="621">
        <f>C11+C13+C14+C16+C18+C21+C22+C23+C25+C27+C28+C34+C36+C38+C41+C43+C46+C49+C50+C51+C52+C53+C54+C55+C56+C57+C58</f>
        <v>6235963994</v>
      </c>
      <c r="D59" s="621">
        <f t="shared" ref="D59:H59" si="18">D11+D13+D14+D16+D18+D21+D22+D23+D25+D27+D28+D34+D36+D38+D41+D43+D46+D49+D50+D51+D52+D53+D54+D55+D56+D57+D58</f>
        <v>6235963994</v>
      </c>
      <c r="E59" s="621">
        <f t="shared" si="18"/>
        <v>42478714972</v>
      </c>
      <c r="F59" s="621">
        <f t="shared" si="18"/>
        <v>42478714972</v>
      </c>
      <c r="G59" s="621">
        <f t="shared" si="18"/>
        <v>8108589445</v>
      </c>
      <c r="H59" s="621">
        <f t="shared" si="18"/>
        <v>8124983462</v>
      </c>
    </row>
    <row r="60" spans="1:9">
      <c r="E60" s="622"/>
      <c r="F60" s="623"/>
    </row>
    <row r="61" spans="1:9">
      <c r="D61" s="162">
        <f>C59-D59</f>
        <v>0</v>
      </c>
      <c r="E61" s="623"/>
      <c r="F61" s="623">
        <f>E59-F59</f>
        <v>0</v>
      </c>
      <c r="H61" s="623">
        <f>G59-H59</f>
        <v>-16394017</v>
      </c>
    </row>
    <row r="62" spans="1:9">
      <c r="E62" s="624"/>
      <c r="F62" s="624"/>
    </row>
    <row r="63" spans="1:9">
      <c r="E63" s="624"/>
      <c r="F63" s="624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375"/>
  <sheetViews>
    <sheetView topLeftCell="A7" workbookViewId="0">
      <pane ySplit="3" topLeftCell="A1789" activePane="bottomLeft" state="frozen"/>
      <selection activeCell="A7" sqref="A7"/>
      <selection pane="bottomLeft" activeCell="H1587" sqref="H1587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1" t="s">
        <v>93</v>
      </c>
      <c r="D4" s="981"/>
      <c r="E4" s="981"/>
      <c r="F4" s="981"/>
      <c r="G4" s="981"/>
      <c r="H4" s="981"/>
      <c r="I4" s="981"/>
      <c r="J4" s="981"/>
      <c r="K4" s="981"/>
      <c r="L4" s="981"/>
      <c r="M4" s="981"/>
    </row>
    <row r="5" spans="1:28" ht="14.25">
      <c r="B5" s="42"/>
      <c r="C5" s="982"/>
      <c r="D5" s="982"/>
      <c r="E5" s="982"/>
      <c r="F5" s="982"/>
      <c r="G5" s="982"/>
      <c r="H5" s="982"/>
      <c r="I5" s="982"/>
      <c r="J5" s="982"/>
      <c r="K5" s="982"/>
      <c r="L5" s="982"/>
      <c r="M5" s="982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7" t="s">
        <v>117</v>
      </c>
      <c r="B7" s="999" t="s">
        <v>101</v>
      </c>
      <c r="C7" s="983" t="s">
        <v>20</v>
      </c>
      <c r="D7" s="984" t="s">
        <v>1</v>
      </c>
      <c r="E7" s="985"/>
      <c r="F7" s="983" t="s">
        <v>0</v>
      </c>
      <c r="G7" s="987" t="s">
        <v>116</v>
      </c>
      <c r="H7" s="1001" t="s">
        <v>44</v>
      </c>
      <c r="I7" s="1006" t="s">
        <v>258</v>
      </c>
      <c r="J7" s="1007"/>
      <c r="K7" s="983" t="s">
        <v>157</v>
      </c>
      <c r="L7" s="986" t="s">
        <v>94</v>
      </c>
      <c r="M7" s="986"/>
      <c r="N7" s="1004" t="s">
        <v>403</v>
      </c>
      <c r="O7" s="995" t="s">
        <v>783</v>
      </c>
      <c r="P7" s="989" t="s">
        <v>47</v>
      </c>
      <c r="Q7" s="990"/>
      <c r="R7" s="991"/>
      <c r="S7" s="989" t="s">
        <v>51</v>
      </c>
      <c r="T7" s="990"/>
      <c r="U7" s="991"/>
      <c r="V7" s="1004" t="s">
        <v>402</v>
      </c>
      <c r="W7" s="1002" t="str">
        <f>CTTK!$E$7</f>
        <v>642</v>
      </c>
      <c r="X7" s="980" t="s">
        <v>163</v>
      </c>
      <c r="Y7" s="980"/>
      <c r="Z7" s="980"/>
      <c r="AA7" s="980" t="s">
        <v>351</v>
      </c>
      <c r="AB7" s="763"/>
    </row>
    <row r="8" spans="1:28" ht="24.75" customHeight="1">
      <c r="A8" s="998"/>
      <c r="B8" s="1000"/>
      <c r="C8" s="983"/>
      <c r="D8" s="202" t="s">
        <v>15</v>
      </c>
      <c r="E8" s="201" t="s">
        <v>32</v>
      </c>
      <c r="F8" s="983"/>
      <c r="G8" s="988"/>
      <c r="H8" s="1001"/>
      <c r="I8" s="262" t="s">
        <v>203</v>
      </c>
      <c r="J8" s="262" t="s">
        <v>204</v>
      </c>
      <c r="K8" s="983"/>
      <c r="L8" s="203" t="s">
        <v>22</v>
      </c>
      <c r="M8" s="203" t="s">
        <v>23</v>
      </c>
      <c r="N8" s="1005"/>
      <c r="O8" s="996"/>
      <c r="P8" s="992"/>
      <c r="Q8" s="993"/>
      <c r="R8" s="994"/>
      <c r="S8" s="992"/>
      <c r="T8" s="993"/>
      <c r="U8" s="994"/>
      <c r="V8" s="1005"/>
      <c r="W8" s="1003"/>
      <c r="X8" s="980"/>
      <c r="Y8" s="980"/>
      <c r="Z8" s="980"/>
      <c r="AA8" s="980"/>
      <c r="AB8" s="763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4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57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65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57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65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57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65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57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65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57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65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57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65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235767106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57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65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57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65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1396</v>
      </c>
      <c r="G18" s="49"/>
      <c r="H18" s="50"/>
      <c r="I18" s="254"/>
      <c r="J18" s="254"/>
      <c r="K18" s="51">
        <f>SUMIF(KHC,L18,TH)</f>
        <v>12319600</v>
      </c>
      <c r="L18" s="52" t="s">
        <v>1392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57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65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57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65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57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65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57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65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57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65"/>
    </row>
    <row r="23" spans="1:28" s="916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78">
        <f t="shared" si="1"/>
        <v>42371</v>
      </c>
      <c r="D23" s="878" t="s">
        <v>334</v>
      </c>
      <c r="E23" s="878">
        <v>42371</v>
      </c>
      <c r="F23" s="884" t="s">
        <v>1459</v>
      </c>
      <c r="G23" s="913"/>
      <c r="H23" s="914"/>
      <c r="I23" s="881"/>
      <c r="J23" s="881"/>
      <c r="K23" s="888">
        <v>30750000</v>
      </c>
      <c r="L23" s="915" t="s">
        <v>165</v>
      </c>
      <c r="M23" s="915" t="s">
        <v>260</v>
      </c>
      <c r="N23" s="52" t="str">
        <f>IF(AND('331-CT'!$E$7=TH!H23,OR(L23="331",M23="331")),"331",IF(AND(OR(L23="131",M23="131"),H23='131-CT'!$E$7),"131",""))</f>
        <v/>
      </c>
      <c r="O23" s="857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16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78">
        <f t="shared" si="1"/>
        <v>42461</v>
      </c>
      <c r="D24" s="878" t="s">
        <v>334</v>
      </c>
      <c r="E24" s="878">
        <v>42461</v>
      </c>
      <c r="F24" s="884" t="s">
        <v>1459</v>
      </c>
      <c r="G24" s="880"/>
      <c r="H24" s="914"/>
      <c r="I24" s="881"/>
      <c r="J24" s="881"/>
      <c r="K24" s="888">
        <f>30750000-750000</f>
        <v>30000000</v>
      </c>
      <c r="L24" s="915" t="s">
        <v>165</v>
      </c>
      <c r="M24" s="915" t="s">
        <v>260</v>
      </c>
      <c r="N24" s="52" t="str">
        <f>IF(AND('331-CT'!$E$7=TH!H24,OR(L24="331",M24="331")),"331",IF(AND(OR(L24="131",M24="131"),H24='131-CT'!$E$7),"131",""))</f>
        <v/>
      </c>
      <c r="O24" s="857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16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78">
        <f t="shared" si="1"/>
        <v>42552</v>
      </c>
      <c r="D25" s="878" t="s">
        <v>334</v>
      </c>
      <c r="E25" s="878">
        <v>42552</v>
      </c>
      <c r="F25" s="884" t="s">
        <v>1459</v>
      </c>
      <c r="G25" s="880"/>
      <c r="H25" s="914"/>
      <c r="I25" s="881"/>
      <c r="J25" s="881"/>
      <c r="K25" s="888">
        <v>6250000</v>
      </c>
      <c r="L25" s="915" t="s">
        <v>165</v>
      </c>
      <c r="M25" s="915" t="s">
        <v>260</v>
      </c>
      <c r="N25" s="52" t="str">
        <f>IF(AND('331-CT'!$E$7=TH!H25,OR(L25="331",M25="331")),"331",IF(AND(OR(L25="131",M25="131"),H25='131-CT'!$E$7),"131",""))</f>
        <v/>
      </c>
      <c r="O25" s="857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16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78">
        <f t="shared" si="1"/>
        <v>42644</v>
      </c>
      <c r="D26" s="878" t="s">
        <v>334</v>
      </c>
      <c r="E26" s="878">
        <v>42644</v>
      </c>
      <c r="F26" s="884" t="s">
        <v>1459</v>
      </c>
      <c r="G26" s="880"/>
      <c r="H26" s="914"/>
      <c r="I26" s="881"/>
      <c r="J26" s="881"/>
      <c r="K26" s="888">
        <v>6250000</v>
      </c>
      <c r="L26" s="915" t="s">
        <v>165</v>
      </c>
      <c r="M26" s="915" t="s">
        <v>260</v>
      </c>
      <c r="N26" s="52" t="str">
        <f>IF(AND('331-CT'!$E$7=TH!H26,OR(L26="331",M26="331")),"331",IF(AND(OR(L26="131",M26="131"),H26='131-CT'!$E$7),"131",""))</f>
        <v/>
      </c>
      <c r="O26" s="857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16" customFormat="1" ht="15.75" customHeight="1">
      <c r="A27" s="204" t="str">
        <f>IF(B27&lt;&gt;"",IF(AND(B27&gt;=_TM1,B27&lt;=_TM2,OR(TH!L27="1111",TH!M27="1111")),TH!D27,""),"")</f>
        <v/>
      </c>
      <c r="B27" s="917">
        <f t="shared" si="0"/>
        <v>1</v>
      </c>
      <c r="C27" s="878">
        <f t="shared" si="1"/>
        <v>42400</v>
      </c>
      <c r="D27" s="878" t="s">
        <v>334</v>
      </c>
      <c r="E27" s="878">
        <v>42400</v>
      </c>
      <c r="F27" s="884" t="s">
        <v>1460</v>
      </c>
      <c r="G27" s="913"/>
      <c r="H27" s="914"/>
      <c r="I27" s="881"/>
      <c r="J27" s="881"/>
      <c r="K27" s="888">
        <v>10750000</v>
      </c>
      <c r="L27" s="915" t="s">
        <v>83</v>
      </c>
      <c r="M27" s="915" t="s">
        <v>262</v>
      </c>
      <c r="N27" s="52" t="str">
        <f>IF(AND('331-CT'!$E$7=TH!H27,OR(L27="331",M27="331")),"331",IF(AND(OR(L27="131",M27="131"),H27='131-CT'!$E$7),"131",""))</f>
        <v/>
      </c>
      <c r="O27" s="857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16" customFormat="1" ht="15.75" customHeight="1">
      <c r="A28" s="204" t="str">
        <f>IF(B28&lt;&gt;"",IF(AND(B28&gt;=_TM1,B28&lt;=_TM2,OR(TH!L28="1111",TH!M28="1111")),TH!D28,""),"")</f>
        <v/>
      </c>
      <c r="B28" s="917">
        <f t="shared" si="0"/>
        <v>1</v>
      </c>
      <c r="C28" s="878">
        <f t="shared" si="1"/>
        <v>42400</v>
      </c>
      <c r="D28" s="878" t="s">
        <v>334</v>
      </c>
      <c r="E28" s="878">
        <v>42400</v>
      </c>
      <c r="F28" s="884" t="s">
        <v>1461</v>
      </c>
      <c r="G28" s="913"/>
      <c r="H28" s="914"/>
      <c r="I28" s="881"/>
      <c r="J28" s="881"/>
      <c r="K28" s="888">
        <v>25275000</v>
      </c>
      <c r="L28" s="915" t="s">
        <v>165</v>
      </c>
      <c r="M28" s="915" t="s">
        <v>262</v>
      </c>
      <c r="N28" s="52" t="str">
        <f>IF(AND('331-CT'!$E$7=TH!H28,OR(L28="331",M28="331")),"331",IF(AND(OR(L28="131",M28="131"),H28='131-CT'!$E$7),"131",""))</f>
        <v/>
      </c>
      <c r="O28" s="857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16" customFormat="1" ht="15.75" customHeight="1">
      <c r="A29" s="204" t="str">
        <f>IF(B29&lt;&gt;"",IF(AND(B29&gt;=_TM1,B29&lt;=_TM2,OR(TH!L29="1111",TH!M29="1111")),TH!D29,""),"")</f>
        <v/>
      </c>
      <c r="B29" s="917">
        <f t="shared" si="0"/>
        <v>1</v>
      </c>
      <c r="C29" s="878">
        <f t="shared" si="1"/>
        <v>42400</v>
      </c>
      <c r="D29" s="878" t="s">
        <v>334</v>
      </c>
      <c r="E29" s="878">
        <v>42400</v>
      </c>
      <c r="F29" s="884" t="str">
        <f>"Thanh toán tiền lương tháng "&amp;MONTH(E29)&amp;"/"&amp;YEAR(E29)</f>
        <v>Thanh toán tiền lương tháng 1/2016</v>
      </c>
      <c r="G29" s="913"/>
      <c r="H29" s="914"/>
      <c r="I29" s="881"/>
      <c r="J29" s="881"/>
      <c r="K29" s="888">
        <f>K27+K28</f>
        <v>36025000</v>
      </c>
      <c r="L29" s="915" t="s">
        <v>262</v>
      </c>
      <c r="M29" s="915" t="s">
        <v>47</v>
      </c>
      <c r="N29" s="52" t="str">
        <f>IF(AND('331-CT'!$E$7=TH!H29,OR(L29="331",M29="331")),"331",IF(AND(OR(L29="131",M29="131"),H29='131-CT'!$E$7),"131",""))</f>
        <v/>
      </c>
      <c r="O29" s="857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78">
        <f t="shared" si="1"/>
        <v>42429</v>
      </c>
      <c r="D30" s="878" t="s">
        <v>334</v>
      </c>
      <c r="E30" s="878">
        <v>42429</v>
      </c>
      <c r="F30" s="884" t="s">
        <v>1460</v>
      </c>
      <c r="G30" s="913"/>
      <c r="H30" s="914"/>
      <c r="I30" s="881"/>
      <c r="J30" s="881"/>
      <c r="K30" s="888">
        <v>10570000</v>
      </c>
      <c r="L30" s="915" t="s">
        <v>83</v>
      </c>
      <c r="M30" s="915" t="s">
        <v>262</v>
      </c>
      <c r="N30" s="52" t="str">
        <f>IF(AND('331-CT'!$E$7=TH!H30,OR(L30="331",M30="331")),"331",IF(AND(OR(L30="131",M30="131"),H30='131-CT'!$E$7),"131",""))</f>
        <v/>
      </c>
      <c r="O30" s="857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78">
        <f t="shared" si="1"/>
        <v>42429</v>
      </c>
      <c r="D31" s="878" t="s">
        <v>334</v>
      </c>
      <c r="E31" s="878">
        <v>42429</v>
      </c>
      <c r="F31" s="884" t="s">
        <v>1461</v>
      </c>
      <c r="G31" s="913"/>
      <c r="H31" s="914"/>
      <c r="I31" s="881"/>
      <c r="J31" s="881"/>
      <c r="K31" s="888">
        <v>24825000</v>
      </c>
      <c r="L31" s="915" t="s">
        <v>165</v>
      </c>
      <c r="M31" s="915" t="s">
        <v>262</v>
      </c>
      <c r="N31" s="52" t="str">
        <f>IF(AND('331-CT'!$E$7=TH!H31,OR(L31="331",M31="331")),"331",IF(AND(OR(L31="131",M31="131"),H31='131-CT'!$E$7),"131",""))</f>
        <v/>
      </c>
      <c r="O31" s="857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78">
        <f t="shared" si="1"/>
        <v>42429</v>
      </c>
      <c r="D32" s="878" t="s">
        <v>334</v>
      </c>
      <c r="E32" s="878">
        <v>42429</v>
      </c>
      <c r="F32" s="884" t="str">
        <f>"Thanh toán tiền lương tháng "&amp;MONTH(E32)&amp;"/"&amp;YEAR(E32)</f>
        <v>Thanh toán tiền lương tháng 2/2016</v>
      </c>
      <c r="G32" s="913"/>
      <c r="H32" s="914"/>
      <c r="I32" s="881"/>
      <c r="J32" s="881"/>
      <c r="K32" s="888">
        <f>K30+K31</f>
        <v>35395000</v>
      </c>
      <c r="L32" s="915" t="s">
        <v>262</v>
      </c>
      <c r="M32" s="915" t="s">
        <v>47</v>
      </c>
      <c r="N32" s="52" t="str">
        <f>IF(AND('331-CT'!$E$7=TH!H32,OR(L32="331",M32="331")),"331",IF(AND(OR(L32="131",M32="131"),H32='131-CT'!$E$7),"131",""))</f>
        <v/>
      </c>
      <c r="O32" s="857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78">
        <f t="shared" si="1"/>
        <v>42460</v>
      </c>
      <c r="D33" s="878" t="s">
        <v>334</v>
      </c>
      <c r="E33" s="878">
        <v>42460</v>
      </c>
      <c r="F33" s="884" t="s">
        <v>1460</v>
      </c>
      <c r="G33" s="913"/>
      <c r="H33" s="914"/>
      <c r="I33" s="881"/>
      <c r="J33" s="881"/>
      <c r="K33" s="888">
        <v>10810000</v>
      </c>
      <c r="L33" s="915" t="s">
        <v>83</v>
      </c>
      <c r="M33" s="915" t="s">
        <v>262</v>
      </c>
      <c r="N33" s="52" t="str">
        <f>IF(AND('331-CT'!$E$7=TH!H33,OR(L33="331",M33="331")),"331",IF(AND(OR(L33="131",M33="131"),H33='131-CT'!$E$7),"131",""))</f>
        <v/>
      </c>
      <c r="O33" s="857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78">
        <f t="shared" si="1"/>
        <v>42460</v>
      </c>
      <c r="D34" s="878" t="s">
        <v>334</v>
      </c>
      <c r="E34" s="878">
        <v>42460</v>
      </c>
      <c r="F34" s="884" t="s">
        <v>1461</v>
      </c>
      <c r="G34" s="913"/>
      <c r="H34" s="914"/>
      <c r="I34" s="881"/>
      <c r="J34" s="881"/>
      <c r="K34" s="888">
        <v>25425000</v>
      </c>
      <c r="L34" s="915" t="s">
        <v>165</v>
      </c>
      <c r="M34" s="915" t="s">
        <v>262</v>
      </c>
      <c r="N34" s="52" t="str">
        <f>IF(AND('331-CT'!$E$7=TH!H34,OR(L34="331",M34="331")),"331",IF(AND(OR(L34="131",M34="131"),H34='131-CT'!$E$7),"131",""))</f>
        <v/>
      </c>
      <c r="O34" s="857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78">
        <f t="shared" si="1"/>
        <v>42460</v>
      </c>
      <c r="D35" s="878" t="s">
        <v>334</v>
      </c>
      <c r="E35" s="878">
        <v>42460</v>
      </c>
      <c r="F35" s="884" t="str">
        <f>"Thanh toán tiền lương tháng "&amp;MONTH(E35)&amp;"/"&amp;YEAR(E35)</f>
        <v>Thanh toán tiền lương tháng 3/2016</v>
      </c>
      <c r="G35" s="913"/>
      <c r="H35" s="914"/>
      <c r="I35" s="881"/>
      <c r="J35" s="881"/>
      <c r="K35" s="888">
        <f>K33+K34</f>
        <v>36235000</v>
      </c>
      <c r="L35" s="915" t="s">
        <v>262</v>
      </c>
      <c r="M35" s="915" t="s">
        <v>47</v>
      </c>
      <c r="N35" s="52" t="str">
        <f>IF(AND('331-CT'!$E$7=TH!H35,OR(L35="331",M35="331")),"331",IF(AND(OR(L35="131",M35="131"),H35='131-CT'!$E$7),"131",""))</f>
        <v/>
      </c>
      <c r="O35" s="857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78">
        <f t="shared" si="1"/>
        <v>42490</v>
      </c>
      <c r="D36" s="878" t="s">
        <v>334</v>
      </c>
      <c r="E36" s="878">
        <v>42490</v>
      </c>
      <c r="F36" s="884" t="s">
        <v>1460</v>
      </c>
      <c r="G36" s="913"/>
      <c r="H36" s="914"/>
      <c r="I36" s="881"/>
      <c r="J36" s="881"/>
      <c r="K36" s="888">
        <v>5375000</v>
      </c>
      <c r="L36" s="915" t="s">
        <v>83</v>
      </c>
      <c r="M36" s="915" t="s">
        <v>262</v>
      </c>
      <c r="N36" s="52" t="str">
        <f>IF(AND('331-CT'!$E$7=TH!H36,OR(L36="331",M36="331")),"331",IF(AND(OR(L36="131",M36="131"),H36='131-CT'!$E$7),"131",""))</f>
        <v/>
      </c>
      <c r="O36" s="857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78">
        <f t="shared" si="1"/>
        <v>42490</v>
      </c>
      <c r="D37" s="878" t="s">
        <v>334</v>
      </c>
      <c r="E37" s="878">
        <v>42490</v>
      </c>
      <c r="F37" s="884" t="s">
        <v>1461</v>
      </c>
      <c r="G37" s="913"/>
      <c r="H37" s="914"/>
      <c r="I37" s="881"/>
      <c r="J37" s="881"/>
      <c r="K37" s="888">
        <v>16125000</v>
      </c>
      <c r="L37" s="915" t="s">
        <v>165</v>
      </c>
      <c r="M37" s="915" t="s">
        <v>262</v>
      </c>
      <c r="N37" s="52" t="str">
        <f>IF(AND('331-CT'!$E$7=TH!H37,OR(L37="331",M37="331")),"331",IF(AND(OR(L37="131",M37="131"),H37='131-CT'!$E$7),"131",""))</f>
        <v/>
      </c>
      <c r="O37" s="857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78">
        <f t="shared" si="1"/>
        <v>42490</v>
      </c>
      <c r="D38" s="878" t="s">
        <v>334</v>
      </c>
      <c r="E38" s="878">
        <v>42490</v>
      </c>
      <c r="F38" s="884" t="str">
        <f>"Thanh toán tiền lương tháng "&amp;MONTH(E38)&amp;"/"&amp;YEAR(E38)</f>
        <v>Thanh toán tiền lương tháng 4/2016</v>
      </c>
      <c r="G38" s="913"/>
      <c r="H38" s="914"/>
      <c r="I38" s="881"/>
      <c r="J38" s="881"/>
      <c r="K38" s="888">
        <f>K36+K37</f>
        <v>21500000</v>
      </c>
      <c r="L38" s="915" t="s">
        <v>262</v>
      </c>
      <c r="M38" s="915" t="s">
        <v>47</v>
      </c>
      <c r="N38" s="52" t="str">
        <f>IF(AND('331-CT'!$E$7=TH!H38,OR(L38="331",M38="331")),"331",IF(AND(OR(L38="131",M38="131"),H38='131-CT'!$E$7),"131",""))</f>
        <v/>
      </c>
      <c r="O38" s="857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78">
        <f t="shared" si="1"/>
        <v>42521</v>
      </c>
      <c r="D39" s="878" t="s">
        <v>334</v>
      </c>
      <c r="E39" s="878">
        <v>42521</v>
      </c>
      <c r="F39" s="884" t="s">
        <v>1460</v>
      </c>
      <c r="G39" s="913"/>
      <c r="H39" s="914"/>
      <c r="I39" s="881"/>
      <c r="J39" s="881"/>
      <c r="K39" s="888">
        <v>5375000</v>
      </c>
      <c r="L39" s="915" t="s">
        <v>83</v>
      </c>
      <c r="M39" s="915" t="s">
        <v>262</v>
      </c>
      <c r="N39" s="52" t="str">
        <f>IF(AND('331-CT'!$E$7=TH!H39,OR(L39="331",M39="331")),"331",IF(AND(OR(L39="131",M39="131"),H39='131-CT'!$E$7),"131",""))</f>
        <v/>
      </c>
      <c r="O39" s="857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78">
        <f t="shared" si="1"/>
        <v>42521</v>
      </c>
      <c r="D40" s="878" t="s">
        <v>334</v>
      </c>
      <c r="E40" s="878">
        <v>42521</v>
      </c>
      <c r="F40" s="884" t="s">
        <v>1461</v>
      </c>
      <c r="G40" s="913"/>
      <c r="H40" s="914"/>
      <c r="I40" s="881"/>
      <c r="J40" s="881"/>
      <c r="K40" s="888">
        <v>16125000</v>
      </c>
      <c r="L40" s="915" t="s">
        <v>165</v>
      </c>
      <c r="M40" s="915" t="s">
        <v>262</v>
      </c>
      <c r="N40" s="52" t="str">
        <f>IF(AND('331-CT'!$E$7=TH!H40,OR(L40="331",M40="331")),"331",IF(AND(OR(L40="131",M40="131"),H40='131-CT'!$E$7),"131",""))</f>
        <v/>
      </c>
      <c r="O40" s="857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78">
        <f t="shared" si="1"/>
        <v>42521</v>
      </c>
      <c r="D41" s="878" t="s">
        <v>334</v>
      </c>
      <c r="E41" s="878">
        <v>42521</v>
      </c>
      <c r="F41" s="884" t="str">
        <f>"Thanh toán tiền lương tháng "&amp;MONTH(E41)&amp;"/"&amp;YEAR(E41)</f>
        <v>Thanh toán tiền lương tháng 5/2016</v>
      </c>
      <c r="G41" s="913"/>
      <c r="H41" s="914"/>
      <c r="I41" s="881"/>
      <c r="J41" s="881"/>
      <c r="K41" s="888">
        <f>K39+K40</f>
        <v>21500000</v>
      </c>
      <c r="L41" s="915" t="s">
        <v>262</v>
      </c>
      <c r="M41" s="915" t="s">
        <v>47</v>
      </c>
      <c r="N41" s="52" t="str">
        <f>IF(AND('331-CT'!$E$7=TH!H41,OR(L41="331",M41="331")),"331",IF(AND(OR(L41="131",M41="131"),H41='131-CT'!$E$7),"131",""))</f>
        <v/>
      </c>
      <c r="O41" s="857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78">
        <f t="shared" si="1"/>
        <v>42551</v>
      </c>
      <c r="D42" s="878" t="s">
        <v>334</v>
      </c>
      <c r="E42" s="878">
        <v>42551</v>
      </c>
      <c r="F42" s="884" t="s">
        <v>1460</v>
      </c>
      <c r="G42" s="913"/>
      <c r="H42" s="914"/>
      <c r="I42" s="881"/>
      <c r="J42" s="881"/>
      <c r="K42" s="888">
        <v>5390000</v>
      </c>
      <c r="L42" s="915" t="s">
        <v>83</v>
      </c>
      <c r="M42" s="915" t="s">
        <v>262</v>
      </c>
      <c r="N42" s="52" t="str">
        <f>IF(AND('331-CT'!$E$7=TH!H42,OR(L42="331",M42="331")),"331",IF(AND(OR(L42="131",M42="131"),H42='131-CT'!$E$7),"131",""))</f>
        <v/>
      </c>
      <c r="O42" s="857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78">
        <f t="shared" si="1"/>
        <v>42551</v>
      </c>
      <c r="D43" s="878" t="s">
        <v>334</v>
      </c>
      <c r="E43" s="878">
        <v>42551</v>
      </c>
      <c r="F43" s="884" t="s">
        <v>1461</v>
      </c>
      <c r="G43" s="913"/>
      <c r="H43" s="914"/>
      <c r="I43" s="881"/>
      <c r="J43" s="881"/>
      <c r="K43" s="888">
        <v>16170000</v>
      </c>
      <c r="L43" s="915" t="s">
        <v>165</v>
      </c>
      <c r="M43" s="915" t="s">
        <v>262</v>
      </c>
      <c r="N43" s="52" t="str">
        <f>IF(AND('331-CT'!$E$7=TH!H43,OR(L43="331",M43="331")),"331",IF(AND(OR(L43="131",M43="131"),H43='131-CT'!$E$7),"131",""))</f>
        <v/>
      </c>
      <c r="O43" s="857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78">
        <f t="shared" si="1"/>
        <v>42551</v>
      </c>
      <c r="D44" s="878" t="s">
        <v>334</v>
      </c>
      <c r="E44" s="878">
        <v>42551</v>
      </c>
      <c r="F44" s="884" t="str">
        <f>"Thanh toán tiền lương tháng "&amp;MONTH(E44)&amp;"/"&amp;YEAR(E44)</f>
        <v>Thanh toán tiền lương tháng 6/2016</v>
      </c>
      <c r="G44" s="913"/>
      <c r="H44" s="914"/>
      <c r="I44" s="881"/>
      <c r="J44" s="881"/>
      <c r="K44" s="888">
        <f>K42+K43</f>
        <v>21560000</v>
      </c>
      <c r="L44" s="915" t="s">
        <v>262</v>
      </c>
      <c r="M44" s="915" t="s">
        <v>47</v>
      </c>
      <c r="N44" s="52" t="str">
        <f>IF(AND('331-CT'!$E$7=TH!H44,OR(L44="331",M44="331")),"331",IF(AND(OR(L44="131",M44="131"),H44='131-CT'!$E$7),"131",""))</f>
        <v/>
      </c>
      <c r="O44" s="857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78">
        <f t="shared" si="1"/>
        <v>42582</v>
      </c>
      <c r="D45" s="878" t="s">
        <v>334</v>
      </c>
      <c r="E45" s="878">
        <v>42582</v>
      </c>
      <c r="F45" s="884" t="s">
        <v>1460</v>
      </c>
      <c r="G45" s="913"/>
      <c r="H45" s="914"/>
      <c r="I45" s="881"/>
      <c r="J45" s="881"/>
      <c r="K45" s="888">
        <v>5390000</v>
      </c>
      <c r="L45" s="915" t="s">
        <v>83</v>
      </c>
      <c r="M45" s="915" t="s">
        <v>262</v>
      </c>
      <c r="N45" s="52" t="str">
        <f>IF(AND('331-CT'!$E$7=TH!H45,OR(L45="331",M45="331")),"331",IF(AND(OR(L45="131",M45="131"),H45='131-CT'!$E$7),"131",""))</f>
        <v/>
      </c>
      <c r="O45" s="857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78">
        <f t="shared" si="1"/>
        <v>42582</v>
      </c>
      <c r="D46" s="878" t="s">
        <v>334</v>
      </c>
      <c r="E46" s="878">
        <v>42582</v>
      </c>
      <c r="F46" s="884" t="s">
        <v>1461</v>
      </c>
      <c r="G46" s="913"/>
      <c r="H46" s="914"/>
      <c r="I46" s="881"/>
      <c r="J46" s="881"/>
      <c r="K46" s="888">
        <v>16170000</v>
      </c>
      <c r="L46" s="915" t="s">
        <v>165</v>
      </c>
      <c r="M46" s="915" t="s">
        <v>262</v>
      </c>
      <c r="N46" s="52" t="str">
        <f>IF(AND('331-CT'!$E$7=TH!H46,OR(L46="331",M46="331")),"331",IF(AND(OR(L46="131",M46="131"),H46='131-CT'!$E$7),"131",""))</f>
        <v/>
      </c>
      <c r="O46" s="857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78">
        <f t="shared" si="1"/>
        <v>42582</v>
      </c>
      <c r="D47" s="878" t="s">
        <v>334</v>
      </c>
      <c r="E47" s="878">
        <v>42582</v>
      </c>
      <c r="F47" s="884" t="str">
        <f>"Thanh toán tiền lương tháng "&amp;MONTH(E47)&amp;"/"&amp;YEAR(E47)</f>
        <v>Thanh toán tiền lương tháng 7/2016</v>
      </c>
      <c r="G47" s="913"/>
      <c r="H47" s="914"/>
      <c r="I47" s="881"/>
      <c r="J47" s="881"/>
      <c r="K47" s="888">
        <f>K45+K46</f>
        <v>21560000</v>
      </c>
      <c r="L47" s="915" t="s">
        <v>262</v>
      </c>
      <c r="M47" s="915" t="s">
        <v>47</v>
      </c>
      <c r="N47" s="52" t="str">
        <f>IF(AND('331-CT'!$E$7=TH!H47,OR(L47="331",M47="331")),"331",IF(AND(OR(L47="131",M47="131"),H47='131-CT'!$E$7),"131",""))</f>
        <v/>
      </c>
      <c r="O47" s="857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78">
        <f t="shared" si="1"/>
        <v>42613</v>
      </c>
      <c r="D48" s="878" t="s">
        <v>334</v>
      </c>
      <c r="E48" s="878">
        <v>42613</v>
      </c>
      <c r="F48" s="884" t="s">
        <v>1460</v>
      </c>
      <c r="G48" s="913"/>
      <c r="H48" s="914"/>
      <c r="I48" s="881"/>
      <c r="J48" s="881"/>
      <c r="K48" s="888">
        <v>5405000</v>
      </c>
      <c r="L48" s="915" t="s">
        <v>83</v>
      </c>
      <c r="M48" s="915" t="s">
        <v>262</v>
      </c>
      <c r="N48" s="52" t="str">
        <f>IF(AND('331-CT'!$E$7=TH!H48,OR(L48="331",M48="331")),"331",IF(AND(OR(L48="131",M48="131"),H48='131-CT'!$E$7),"131",""))</f>
        <v/>
      </c>
      <c r="O48" s="857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78">
        <f t="shared" si="1"/>
        <v>42613</v>
      </c>
      <c r="D49" s="878" t="s">
        <v>334</v>
      </c>
      <c r="E49" s="878">
        <v>42613</v>
      </c>
      <c r="F49" s="884" t="s">
        <v>1461</v>
      </c>
      <c r="G49" s="913"/>
      <c r="H49" s="914"/>
      <c r="I49" s="881"/>
      <c r="J49" s="881"/>
      <c r="K49" s="888">
        <v>16215000</v>
      </c>
      <c r="L49" s="915" t="s">
        <v>165</v>
      </c>
      <c r="M49" s="915" t="s">
        <v>262</v>
      </c>
      <c r="N49" s="52" t="str">
        <f>IF(AND('331-CT'!$E$7=TH!H49,OR(L49="331",M49="331")),"331",IF(AND(OR(L49="131",M49="131"),H49='131-CT'!$E$7),"131",""))</f>
        <v/>
      </c>
      <c r="O49" s="857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78">
        <f t="shared" si="1"/>
        <v>42613</v>
      </c>
      <c r="D50" s="878" t="s">
        <v>334</v>
      </c>
      <c r="E50" s="878">
        <v>42613</v>
      </c>
      <c r="F50" s="884" t="str">
        <f>"Thanh toán tiền lương tháng "&amp;MONTH(E50)&amp;"/"&amp;YEAR(E50)</f>
        <v>Thanh toán tiền lương tháng 8/2016</v>
      </c>
      <c r="G50" s="913"/>
      <c r="H50" s="914"/>
      <c r="I50" s="881"/>
      <c r="J50" s="881"/>
      <c r="K50" s="888">
        <f>K48+K49</f>
        <v>21620000</v>
      </c>
      <c r="L50" s="915" t="s">
        <v>262</v>
      </c>
      <c r="M50" s="915" t="s">
        <v>47</v>
      </c>
      <c r="N50" s="52" t="str">
        <f>IF(AND('331-CT'!$E$7=TH!H50,OR(L50="331",M50="331")),"331",IF(AND(OR(L50="131",M50="131"),H50='131-CT'!$E$7),"131",""))</f>
        <v/>
      </c>
      <c r="O50" s="857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78">
        <f t="shared" si="1"/>
        <v>42643</v>
      </c>
      <c r="D51" s="878" t="s">
        <v>334</v>
      </c>
      <c r="E51" s="878">
        <v>42643</v>
      </c>
      <c r="F51" s="884" t="s">
        <v>1460</v>
      </c>
      <c r="G51" s="913"/>
      <c r="H51" s="914"/>
      <c r="I51" s="881"/>
      <c r="J51" s="881"/>
      <c r="K51" s="888">
        <v>5375000</v>
      </c>
      <c r="L51" s="915" t="s">
        <v>83</v>
      </c>
      <c r="M51" s="915" t="s">
        <v>262</v>
      </c>
      <c r="N51" s="52" t="str">
        <f>IF(AND('331-CT'!$E$7=TH!H51,OR(L51="331",M51="331")),"331",IF(AND(OR(L51="131",M51="131"),H51='131-CT'!$E$7),"131",""))</f>
        <v/>
      </c>
      <c r="O51" s="857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78">
        <f t="shared" si="1"/>
        <v>42643</v>
      </c>
      <c r="D52" s="878" t="s">
        <v>334</v>
      </c>
      <c r="E52" s="878">
        <v>42643</v>
      </c>
      <c r="F52" s="884" t="s">
        <v>1461</v>
      </c>
      <c r="G52" s="913"/>
      <c r="H52" s="914"/>
      <c r="I52" s="881"/>
      <c r="J52" s="881"/>
      <c r="K52" s="888">
        <v>16125000</v>
      </c>
      <c r="L52" s="915" t="s">
        <v>165</v>
      </c>
      <c r="M52" s="915" t="s">
        <v>262</v>
      </c>
      <c r="N52" s="52" t="str">
        <f>IF(AND('331-CT'!$E$7=TH!H52,OR(L52="331",M52="331")),"331",IF(AND(OR(L52="131",M52="131"),H52='131-CT'!$E$7),"131",""))</f>
        <v/>
      </c>
      <c r="O52" s="857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78">
        <f t="shared" si="1"/>
        <v>42643</v>
      </c>
      <c r="D53" s="878" t="s">
        <v>334</v>
      </c>
      <c r="E53" s="878">
        <v>42643</v>
      </c>
      <c r="F53" s="884" t="str">
        <f>"Thanh toán tiền lương tháng "&amp;MONTH(E53)&amp;"/"&amp;YEAR(E53)</f>
        <v>Thanh toán tiền lương tháng 9/2016</v>
      </c>
      <c r="G53" s="913"/>
      <c r="H53" s="914"/>
      <c r="I53" s="881"/>
      <c r="J53" s="881"/>
      <c r="K53" s="888">
        <f>K51+K52</f>
        <v>21500000</v>
      </c>
      <c r="L53" s="915" t="s">
        <v>262</v>
      </c>
      <c r="M53" s="915" t="s">
        <v>47</v>
      </c>
      <c r="N53" s="52" t="str">
        <f>IF(AND('331-CT'!$E$7=TH!H53,OR(L53="331",M53="331")),"331",IF(AND(OR(L53="131",M53="131"),H53='131-CT'!$E$7),"131",""))</f>
        <v/>
      </c>
      <c r="O53" s="857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78">
        <f t="shared" si="1"/>
        <v>42674</v>
      </c>
      <c r="D54" s="878" t="s">
        <v>334</v>
      </c>
      <c r="E54" s="878">
        <v>42674</v>
      </c>
      <c r="F54" s="884" t="s">
        <v>1460</v>
      </c>
      <c r="G54" s="913"/>
      <c r="H54" s="914"/>
      <c r="I54" s="881"/>
      <c r="J54" s="881"/>
      <c r="K54" s="888">
        <v>5390000</v>
      </c>
      <c r="L54" s="915" t="s">
        <v>83</v>
      </c>
      <c r="M54" s="915" t="s">
        <v>262</v>
      </c>
      <c r="N54" s="52" t="str">
        <f>IF(AND('331-CT'!$E$7=TH!H54,OR(L54="331",M54="331")),"331",IF(AND(OR(L54="131",M54="131"),H54='131-CT'!$E$7),"131",""))</f>
        <v/>
      </c>
      <c r="O54" s="857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78">
        <f t="shared" si="1"/>
        <v>42674</v>
      </c>
      <c r="D55" s="878" t="s">
        <v>334</v>
      </c>
      <c r="E55" s="878">
        <v>42674</v>
      </c>
      <c r="F55" s="884" t="s">
        <v>1461</v>
      </c>
      <c r="G55" s="913"/>
      <c r="H55" s="914"/>
      <c r="I55" s="881"/>
      <c r="J55" s="881"/>
      <c r="K55" s="888">
        <v>16170000</v>
      </c>
      <c r="L55" s="915" t="s">
        <v>165</v>
      </c>
      <c r="M55" s="915" t="s">
        <v>262</v>
      </c>
      <c r="N55" s="52" t="str">
        <f>IF(AND('331-CT'!$E$7=TH!H55,OR(L55="331",M55="331")),"331",IF(AND(OR(L55="131",M55="131"),H55='131-CT'!$E$7),"131",""))</f>
        <v/>
      </c>
      <c r="O55" s="857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78">
        <f t="shared" si="1"/>
        <v>42674</v>
      </c>
      <c r="D56" s="878" t="s">
        <v>334</v>
      </c>
      <c r="E56" s="878">
        <v>42674</v>
      </c>
      <c r="F56" s="884" t="str">
        <f>"Thanh toán tiền lương tháng "&amp;MONTH(E56)&amp;"/"&amp;YEAR(E56)</f>
        <v>Thanh toán tiền lương tháng 10/2016</v>
      </c>
      <c r="G56" s="913"/>
      <c r="H56" s="914"/>
      <c r="I56" s="881"/>
      <c r="J56" s="881"/>
      <c r="K56" s="888">
        <f>K54+K55</f>
        <v>21560000</v>
      </c>
      <c r="L56" s="915" t="s">
        <v>262</v>
      </c>
      <c r="M56" s="915" t="s">
        <v>47</v>
      </c>
      <c r="N56" s="52" t="str">
        <f>IF(AND('331-CT'!$E$7=TH!H56,OR(L56="331",M56="331")),"331",IF(AND(OR(L56="131",M56="131"),H56='131-CT'!$E$7),"131",""))</f>
        <v/>
      </c>
      <c r="O56" s="857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78">
        <f t="shared" si="1"/>
        <v>42704</v>
      </c>
      <c r="D57" s="878" t="s">
        <v>334</v>
      </c>
      <c r="E57" s="878">
        <v>42704</v>
      </c>
      <c r="F57" s="884" t="s">
        <v>1460</v>
      </c>
      <c r="G57" s="913"/>
      <c r="H57" s="914"/>
      <c r="I57" s="881"/>
      <c r="J57" s="881"/>
      <c r="K57" s="888">
        <v>5390000</v>
      </c>
      <c r="L57" s="915" t="s">
        <v>83</v>
      </c>
      <c r="M57" s="915" t="s">
        <v>262</v>
      </c>
      <c r="N57" s="52" t="str">
        <f>IF(AND('331-CT'!$E$7=TH!H57,OR(L57="331",M57="331")),"331",IF(AND(OR(L57="131",M57="131"),H57='131-CT'!$E$7),"131",""))</f>
        <v/>
      </c>
      <c r="O57" s="857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78">
        <f t="shared" si="1"/>
        <v>42704</v>
      </c>
      <c r="D58" s="878" t="s">
        <v>334</v>
      </c>
      <c r="E58" s="878">
        <v>42704</v>
      </c>
      <c r="F58" s="884" t="s">
        <v>1461</v>
      </c>
      <c r="G58" s="913"/>
      <c r="H58" s="914"/>
      <c r="I58" s="881"/>
      <c r="J58" s="881"/>
      <c r="K58" s="888">
        <v>16170000</v>
      </c>
      <c r="L58" s="915" t="s">
        <v>165</v>
      </c>
      <c r="M58" s="915" t="s">
        <v>262</v>
      </c>
      <c r="N58" s="52" t="str">
        <f>IF(AND('331-CT'!$E$7=TH!H58,OR(L58="331",M58="331")),"331",IF(AND(OR(L58="131",M58="131"),H58='131-CT'!$E$7),"131",""))</f>
        <v/>
      </c>
      <c r="O58" s="857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78">
        <f t="shared" si="1"/>
        <v>42704</v>
      </c>
      <c r="D59" s="878" t="s">
        <v>334</v>
      </c>
      <c r="E59" s="878">
        <v>42704</v>
      </c>
      <c r="F59" s="884" t="str">
        <f>"Thanh toán tiền lương tháng "&amp;MONTH(E59)&amp;"/"&amp;YEAR(E59)</f>
        <v>Thanh toán tiền lương tháng 11/2016</v>
      </c>
      <c r="G59" s="913"/>
      <c r="H59" s="914"/>
      <c r="I59" s="881"/>
      <c r="J59" s="881"/>
      <c r="K59" s="888">
        <f>K57+K58</f>
        <v>21560000</v>
      </c>
      <c r="L59" s="915" t="s">
        <v>262</v>
      </c>
      <c r="M59" s="915" t="s">
        <v>47</v>
      </c>
      <c r="N59" s="52" t="str">
        <f>IF(AND('331-CT'!$E$7=TH!H59,OR(L59="331",M59="331")),"331",IF(AND(OR(L59="131",M59="131"),H59='131-CT'!$E$7),"131",""))</f>
        <v/>
      </c>
      <c r="O59" s="857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78">
        <f t="shared" si="1"/>
        <v>42735</v>
      </c>
      <c r="D60" s="878" t="s">
        <v>334</v>
      </c>
      <c r="E60" s="878">
        <v>42735</v>
      </c>
      <c r="F60" s="884" t="s">
        <v>1460</v>
      </c>
      <c r="G60" s="913"/>
      <c r="H60" s="914"/>
      <c r="I60" s="881"/>
      <c r="J60" s="881"/>
      <c r="K60" s="888">
        <v>5405000</v>
      </c>
      <c r="L60" s="915" t="s">
        <v>83</v>
      </c>
      <c r="M60" s="915" t="s">
        <v>262</v>
      </c>
      <c r="N60" s="52" t="str">
        <f>IF(AND('331-CT'!$E$7=TH!H60,OR(L60="331",M60="331")),"331",IF(AND(OR(L60="131",M60="131"),H60='131-CT'!$E$7),"131",""))</f>
        <v/>
      </c>
      <c r="O60" s="857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78">
        <f t="shared" si="1"/>
        <v>42735</v>
      </c>
      <c r="D61" s="878" t="s">
        <v>334</v>
      </c>
      <c r="E61" s="878">
        <v>42735</v>
      </c>
      <c r="F61" s="884" t="s">
        <v>1461</v>
      </c>
      <c r="G61" s="913"/>
      <c r="H61" s="914"/>
      <c r="I61" s="881"/>
      <c r="J61" s="881"/>
      <c r="K61" s="888">
        <v>16215000</v>
      </c>
      <c r="L61" s="915" t="s">
        <v>165</v>
      </c>
      <c r="M61" s="915" t="s">
        <v>262</v>
      </c>
      <c r="N61" s="52" t="str">
        <f>IF(AND('331-CT'!$E$7=TH!H61,OR(L61="331",M61="331")),"331",IF(AND(OR(L61="131",M61="131"),H61='131-CT'!$E$7),"131",""))</f>
        <v/>
      </c>
      <c r="O61" s="857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78">
        <f t="shared" si="1"/>
        <v>42735</v>
      </c>
      <c r="D62" s="878" t="s">
        <v>334</v>
      </c>
      <c r="E62" s="878">
        <v>42735</v>
      </c>
      <c r="F62" s="884" t="str">
        <f>"Thanh toán tiền lương tháng "&amp;MONTH(E62)&amp;"/"&amp;YEAR(E62)</f>
        <v>Thanh toán tiền lương tháng 12/2016</v>
      </c>
      <c r="G62" s="913"/>
      <c r="H62" s="914"/>
      <c r="I62" s="881"/>
      <c r="J62" s="881"/>
      <c r="K62" s="888">
        <f>K60+K61</f>
        <v>21620000</v>
      </c>
      <c r="L62" s="915" t="s">
        <v>262</v>
      </c>
      <c r="M62" s="915" t="s">
        <v>47</v>
      </c>
      <c r="N62" s="52" t="str">
        <f>IF(AND('331-CT'!$E$7=TH!H62,OR(L62="331",M62="331")),"331",IF(AND(OR(L62="131",M62="131"),H62='131-CT'!$E$7),"131",""))</f>
        <v/>
      </c>
      <c r="O62" s="857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57" customFormat="1" ht="15.75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57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1">
        <v>1</v>
      </c>
      <c r="AE63" s="211"/>
    </row>
    <row r="64" spans="1:31" s="557" customFormat="1" ht="15.75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57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1">
        <v>1</v>
      </c>
      <c r="AD64" s="211"/>
      <c r="AE64" s="211"/>
    </row>
    <row r="65" spans="1:33" s="557" customFormat="1" ht="15.75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1107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57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1"/>
      <c r="AC65" s="557" t="str">
        <f>IF(VLOOKUP(F65,NXT!$C$35:$C$411,1,0)=F65,"","x")</f>
        <v/>
      </c>
      <c r="AE65" s="211"/>
    </row>
    <row r="66" spans="1:33" s="211" customFormat="1" ht="15.75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1107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57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1"/>
      <c r="AC66" s="557" t="str">
        <f>IF(VLOOKUP(F66,NXT!$C$35:$C$411,1,0)=F66,"","x")</f>
        <v/>
      </c>
      <c r="AD66" s="557"/>
      <c r="AF66" s="557"/>
      <c r="AG66" s="557"/>
    </row>
    <row r="67" spans="1:33" s="211" customFormat="1" ht="15.75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1107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57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1"/>
      <c r="AC67" s="557" t="str">
        <f>IF(VLOOKUP(H67,DS_131,1,0)=H67,"","x")</f>
        <v/>
      </c>
      <c r="AD67" s="557"/>
      <c r="AF67" s="557"/>
      <c r="AG67" s="557"/>
    </row>
    <row r="68" spans="1:33" s="557" customFormat="1" ht="15.75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1108</v>
      </c>
      <c r="E68" s="191">
        <v>42373</v>
      </c>
      <c r="F68" s="192" t="s">
        <v>894</v>
      </c>
      <c r="G68" s="456" t="s">
        <v>895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57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1"/>
      <c r="AC68" s="557" t="str">
        <f>IF(VLOOKUP(F68,NXT!$C$35:$C$411,1,0)=F68,"","x")</f>
        <v/>
      </c>
      <c r="AE68" s="211"/>
    </row>
    <row r="69" spans="1:33" s="557" customFormat="1" ht="15.75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1108</v>
      </c>
      <c r="E69" s="191">
        <v>42373</v>
      </c>
      <c r="F69" s="192" t="s">
        <v>423</v>
      </c>
      <c r="G69" s="192" t="s">
        <v>895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57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1"/>
      <c r="AC69" s="557" t="str">
        <f>IF(VLOOKUP(H69,DS_131,1,0)=H69,"","x")</f>
        <v/>
      </c>
      <c r="AE69" s="211"/>
    </row>
    <row r="70" spans="1:33" s="557" customFormat="1" ht="15.75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66" t="s">
        <v>83</v>
      </c>
      <c r="M70" s="566" t="s">
        <v>24</v>
      </c>
      <c r="N70" s="52" t="str">
        <f>IF(AND('331-CT'!$E$7=TH!H70,OR(L70="331",M70="331")),"331",IF(AND(OR(L70="131",M70="131"),H70='131-CT'!$E$7),"131",""))</f>
        <v/>
      </c>
      <c r="O70" s="857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1"/>
      <c r="AD70" s="211"/>
      <c r="AE70" s="211"/>
      <c r="AF70" s="211"/>
      <c r="AG70" s="211"/>
    </row>
    <row r="71" spans="1:33" s="557" customFormat="1" ht="15.75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1109</v>
      </c>
      <c r="E71" s="191">
        <v>42374</v>
      </c>
      <c r="F71" s="192" t="s">
        <v>1474</v>
      </c>
      <c r="G71" s="456" t="s">
        <v>896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57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1"/>
      <c r="AC71" s="557" t="str">
        <f>IF(VLOOKUP(F71,NXT!$C$35:$C$411,1,0)=F71,"","x")</f>
        <v/>
      </c>
      <c r="AE71" s="211"/>
    </row>
    <row r="72" spans="1:33" s="557" customFormat="1" ht="15.75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1109</v>
      </c>
      <c r="E72" s="191">
        <v>42374</v>
      </c>
      <c r="F72" s="192" t="s">
        <v>1474</v>
      </c>
      <c r="G72" s="456" t="s">
        <v>896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57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1"/>
      <c r="AC72" s="557" t="str">
        <f>IF(VLOOKUP(F72,NXT!$C$35:$C$411,1,0)=F72,"","x")</f>
        <v/>
      </c>
      <c r="AE72" s="211"/>
    </row>
    <row r="73" spans="1:33" s="557" customFormat="1" ht="15.75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1109</v>
      </c>
      <c r="E73" s="191">
        <v>42374</v>
      </c>
      <c r="F73" s="192" t="s">
        <v>423</v>
      </c>
      <c r="G73" s="192" t="s">
        <v>896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57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1"/>
      <c r="AC73" s="557" t="str">
        <f>IF(VLOOKUP(H73,DS_131,1,0)=H73,"","x")</f>
        <v/>
      </c>
      <c r="AE73" s="211"/>
    </row>
    <row r="74" spans="1:33" s="557" customFormat="1" ht="15.75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1110</v>
      </c>
      <c r="E74" s="191">
        <v>42374</v>
      </c>
      <c r="F74" s="192" t="s">
        <v>419</v>
      </c>
      <c r="G74" s="456" t="s">
        <v>897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57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1"/>
      <c r="AC74" s="557" t="str">
        <f>IF(VLOOKUP(F74,NXT!$C$35:$C$411,1,0)=F74,"","x")</f>
        <v/>
      </c>
      <c r="AD74" s="211"/>
      <c r="AE74" s="211"/>
    </row>
    <row r="75" spans="1:33" s="557" customFormat="1" ht="15.75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1110</v>
      </c>
      <c r="E75" s="191">
        <v>42374</v>
      </c>
      <c r="F75" s="192" t="s">
        <v>422</v>
      </c>
      <c r="G75" s="456" t="s">
        <v>897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57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1"/>
      <c r="AC75" s="557" t="str">
        <f>IF(VLOOKUP(F75,NXT!$C$35:$C$411,1,0)=F75,"","x")</f>
        <v/>
      </c>
      <c r="AE75" s="211"/>
    </row>
    <row r="76" spans="1:33" s="557" customFormat="1" ht="15.75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1110</v>
      </c>
      <c r="E76" s="191">
        <v>42374</v>
      </c>
      <c r="F76" s="192" t="s">
        <v>624</v>
      </c>
      <c r="G76" s="456" t="s">
        <v>897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57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1"/>
      <c r="AC76" s="557" t="str">
        <f>IF(VLOOKUP(F76,NXT!$C$35:$C$411,1,0)=F76,"","x")</f>
        <v/>
      </c>
      <c r="AE76" s="211"/>
    </row>
    <row r="77" spans="1:33" s="557" customFormat="1" ht="15.75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1110</v>
      </c>
      <c r="E77" s="191">
        <v>42374</v>
      </c>
      <c r="F77" s="192" t="s">
        <v>419</v>
      </c>
      <c r="G77" s="456" t="s">
        <v>897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57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1"/>
      <c r="AC77" s="557" t="str">
        <f>IF(VLOOKUP(F77,NXT!$C$35:$C$411,1,0)=F77,"","x")</f>
        <v/>
      </c>
      <c r="AE77" s="211"/>
    </row>
    <row r="78" spans="1:33" s="557" customFormat="1" ht="15.75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1110</v>
      </c>
      <c r="E78" s="191">
        <v>42374</v>
      </c>
      <c r="F78" s="192" t="s">
        <v>444</v>
      </c>
      <c r="G78" s="192" t="s">
        <v>897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57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1"/>
      <c r="AC78" s="557" t="str">
        <f>IF(VLOOKUP(F78,NXT!$C$35:$C$411,1,0)=F78,"","x")</f>
        <v/>
      </c>
      <c r="AE78" s="211"/>
    </row>
    <row r="79" spans="1:33" s="557" customFormat="1" ht="15.75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1110</v>
      </c>
      <c r="E79" s="191">
        <v>42374</v>
      </c>
      <c r="F79" s="192" t="s">
        <v>423</v>
      </c>
      <c r="G79" s="456" t="s">
        <v>897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57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1"/>
      <c r="AC79" s="557" t="str">
        <f>IF(VLOOKUP(H79,DS_131,1,0)=H79,"","x")</f>
        <v/>
      </c>
      <c r="AD79" s="211"/>
      <c r="AE79" s="211"/>
    </row>
    <row r="80" spans="1:33" s="557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66" t="s">
        <v>24</v>
      </c>
      <c r="N80" s="52" t="str">
        <f>IF(AND('331-CT'!$E$7=TH!H80,OR(L80="331",M80="331")),"331",IF(AND(OR(L80="131",M80="131"),H80='131-CT'!$E$7),"131",""))</f>
        <v/>
      </c>
      <c r="O80" s="857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1"/>
      <c r="AE80" s="211"/>
      <c r="AF80" s="211"/>
      <c r="AG80" s="211"/>
    </row>
    <row r="81" spans="1:33" s="557" customFormat="1" ht="15.75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66" t="s">
        <v>24</v>
      </c>
      <c r="N81" s="52" t="str">
        <f>IF(AND('331-CT'!$E$7=TH!H81,OR(L81="331",M81="331")),"331",IF(AND(OR(L81="131",M81="131"),H81='131-CT'!$E$7),"131",""))</f>
        <v/>
      </c>
      <c r="O81" s="857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1"/>
      <c r="AF81" s="211"/>
      <c r="AG81" s="211"/>
    </row>
    <row r="82" spans="1:33" s="557" customFormat="1" ht="15.75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1111</v>
      </c>
      <c r="E82" s="191">
        <v>42375</v>
      </c>
      <c r="F82" s="192" t="s">
        <v>466</v>
      </c>
      <c r="G82" s="192" t="s">
        <v>898</v>
      </c>
      <c r="H82" s="867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57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1"/>
      <c r="AC82" s="557" t="str">
        <f>IF(VLOOKUP(F82,NXT!$C$35:$C$411,1,0)=F82,"","x")</f>
        <v/>
      </c>
      <c r="AE82" s="211"/>
    </row>
    <row r="83" spans="1:33" s="557" customFormat="1" ht="15.75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1111</v>
      </c>
      <c r="E83" s="191">
        <v>42375</v>
      </c>
      <c r="F83" s="192" t="s">
        <v>423</v>
      </c>
      <c r="G83" s="456" t="s">
        <v>898</v>
      </c>
      <c r="H83" s="867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57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1"/>
      <c r="AC83" s="557" t="str">
        <f>IF(VLOOKUP(H83,DS_131,1,0)=H83,"","x")</f>
        <v/>
      </c>
      <c r="AE83" s="211"/>
    </row>
    <row r="84" spans="1:33" s="557" customFormat="1" ht="15.75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1112</v>
      </c>
      <c r="E84" s="191">
        <v>42376</v>
      </c>
      <c r="F84" s="192" t="s">
        <v>542</v>
      </c>
      <c r="G84" s="192" t="s">
        <v>899</v>
      </c>
      <c r="H84" s="867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57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1"/>
      <c r="AC84" s="557" t="str">
        <f>IF(VLOOKUP(F84,NXT!$C$35:$C$411,1,0)=F84,"","x")</f>
        <v/>
      </c>
      <c r="AE84" s="211"/>
    </row>
    <row r="85" spans="1:33" s="211" customFormat="1" ht="15.75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1112</v>
      </c>
      <c r="E85" s="191">
        <v>42376</v>
      </c>
      <c r="F85" s="192" t="s">
        <v>423</v>
      </c>
      <c r="G85" s="456" t="s">
        <v>899</v>
      </c>
      <c r="H85" s="867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57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1"/>
      <c r="AC85" s="557" t="str">
        <f>IF(VLOOKUP(H85,DS_131,1,0)=H85,"","x")</f>
        <v/>
      </c>
      <c r="AD85" s="557"/>
      <c r="AF85" s="557"/>
      <c r="AG85" s="557"/>
    </row>
    <row r="86" spans="1:33" s="211" customFormat="1" ht="15.75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1113</v>
      </c>
      <c r="E86" s="191">
        <v>42376</v>
      </c>
      <c r="F86" s="192" t="s">
        <v>679</v>
      </c>
      <c r="G86" s="456" t="s">
        <v>900</v>
      </c>
      <c r="H86" s="749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57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1"/>
      <c r="AC86" s="557" t="str">
        <f>IF(VLOOKUP(F86,NXT!$C$35:$C$411,1,0)=F86,"","x")</f>
        <v/>
      </c>
      <c r="AD86" s="557"/>
      <c r="AF86" s="557"/>
      <c r="AG86" s="557"/>
    </row>
    <row r="87" spans="1:33" s="557" customFormat="1" ht="15.75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1113</v>
      </c>
      <c r="E87" s="191">
        <v>42376</v>
      </c>
      <c r="F87" s="192" t="s">
        <v>680</v>
      </c>
      <c r="G87" s="456" t="s">
        <v>900</v>
      </c>
      <c r="H87" s="749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57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1"/>
      <c r="AC87" s="557" t="str">
        <f>IF(VLOOKUP(F87,NXT!$C$35:$C$411,1,0)=F87,"","x")</f>
        <v/>
      </c>
      <c r="AD87" s="211"/>
      <c r="AE87" s="211"/>
    </row>
    <row r="88" spans="1:33" s="557" customFormat="1" ht="15.75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1113</v>
      </c>
      <c r="E88" s="191">
        <v>42376</v>
      </c>
      <c r="F88" s="192" t="s">
        <v>901</v>
      </c>
      <c r="G88" s="456" t="s">
        <v>900</v>
      </c>
      <c r="H88" s="749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57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1"/>
      <c r="AC88" s="557" t="str">
        <f>IF(VLOOKUP(F88,NXT!$C$35:$C$411,1,0)=F88,"","x")</f>
        <v/>
      </c>
      <c r="AE88" s="211"/>
      <c r="AF88" s="211"/>
      <c r="AG88" s="211"/>
    </row>
    <row r="89" spans="1:33" s="557" customFormat="1" ht="15.75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1113</v>
      </c>
      <c r="E89" s="191">
        <v>42376</v>
      </c>
      <c r="F89" s="192" t="s">
        <v>902</v>
      </c>
      <c r="G89" s="456" t="s">
        <v>900</v>
      </c>
      <c r="H89" s="749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57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1"/>
      <c r="AC89" s="557" t="str">
        <f>IF(VLOOKUP(F89,NXT!$C$35:$C$411,1,0)=F89,"","x")</f>
        <v/>
      </c>
      <c r="AD89" s="211"/>
      <c r="AE89" s="211"/>
      <c r="AF89" s="211"/>
      <c r="AG89" s="211"/>
    </row>
    <row r="90" spans="1:33" s="557" customFormat="1" ht="15.75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1113</v>
      </c>
      <c r="E90" s="191">
        <v>42376</v>
      </c>
      <c r="F90" s="192" t="s">
        <v>903</v>
      </c>
      <c r="G90" s="456" t="s">
        <v>900</v>
      </c>
      <c r="H90" s="749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57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1"/>
      <c r="AC90" s="557" t="str">
        <f>IF(VLOOKUP(F90,NXT!$C$35:$C$411,1,0)=F90,"","x")</f>
        <v/>
      </c>
      <c r="AE90" s="211"/>
    </row>
    <row r="91" spans="1:33" s="557" customFormat="1" ht="15.75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1113</v>
      </c>
      <c r="E91" s="191">
        <v>42376</v>
      </c>
      <c r="F91" s="192" t="s">
        <v>904</v>
      </c>
      <c r="G91" s="456" t="s">
        <v>900</v>
      </c>
      <c r="H91" s="749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57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1"/>
      <c r="AC91" s="557" t="str">
        <f>IF(VLOOKUP(F91,NXT!$C$35:$C$411,1,0)=F91,"","x")</f>
        <v/>
      </c>
      <c r="AD91" s="211"/>
      <c r="AE91" s="211"/>
    </row>
    <row r="92" spans="1:33" s="557" customFormat="1" ht="15.75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1113</v>
      </c>
      <c r="E92" s="191">
        <v>42376</v>
      </c>
      <c r="F92" s="192" t="s">
        <v>905</v>
      </c>
      <c r="G92" s="456" t="s">
        <v>900</v>
      </c>
      <c r="H92" s="749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57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1"/>
      <c r="AC92" s="557" t="str">
        <f>IF(VLOOKUP(F92,NXT!$C$35:$C$411,1,0)=F92,"","x")</f>
        <v/>
      </c>
      <c r="AE92" s="211"/>
    </row>
    <row r="93" spans="1:33" s="557" customFormat="1" ht="15.75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1113</v>
      </c>
      <c r="E93" s="191">
        <v>42376</v>
      </c>
      <c r="F93" s="192" t="s">
        <v>906</v>
      </c>
      <c r="G93" s="456" t="s">
        <v>900</v>
      </c>
      <c r="H93" s="749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57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1"/>
      <c r="AC93" s="557" t="str">
        <f>IF(VLOOKUP(F93,NXT!$C$35:$C$411,1,0)=F93,"","x")</f>
        <v/>
      </c>
      <c r="AD93" s="211"/>
      <c r="AE93" s="211"/>
    </row>
    <row r="94" spans="1:33" s="557" customFormat="1" ht="15.75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1113</v>
      </c>
      <c r="E94" s="191">
        <v>42376</v>
      </c>
      <c r="F94" s="192" t="s">
        <v>907</v>
      </c>
      <c r="G94" s="456" t="s">
        <v>900</v>
      </c>
      <c r="H94" s="749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57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1"/>
      <c r="AC94" s="557" t="str">
        <f>IF(VLOOKUP(F94,NXT!$C$35:$C$411,1,0)=F94,"","x")</f>
        <v/>
      </c>
      <c r="AE94" s="211"/>
    </row>
    <row r="95" spans="1:33" s="557" customFormat="1" ht="15.75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1113</v>
      </c>
      <c r="E95" s="191">
        <v>42376</v>
      </c>
      <c r="F95" s="192" t="s">
        <v>908</v>
      </c>
      <c r="G95" s="192" t="s">
        <v>900</v>
      </c>
      <c r="H95" s="749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57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1"/>
      <c r="AC95" s="557" t="str">
        <f>IF(VLOOKUP(F95,NXT!$C$35:$C$411,1,0)=F95,"","x")</f>
        <v/>
      </c>
      <c r="AE95" s="211"/>
      <c r="AF95" s="211"/>
      <c r="AG95" s="211"/>
    </row>
    <row r="96" spans="1:33" s="557" customFormat="1" ht="15.75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1113</v>
      </c>
      <c r="E96" s="191">
        <v>42376</v>
      </c>
      <c r="F96" s="192" t="s">
        <v>423</v>
      </c>
      <c r="G96" s="456" t="s">
        <v>900</v>
      </c>
      <c r="H96" s="749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57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1"/>
      <c r="AC96" s="557" t="str">
        <f>IF(VLOOKUP(H96,DS_131,1,0)=H96,"","x")</f>
        <v/>
      </c>
      <c r="AE96" s="211"/>
      <c r="AF96" s="211"/>
      <c r="AG96" s="211"/>
    </row>
    <row r="97" spans="1:33" s="557" customFormat="1" ht="15.75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1114</v>
      </c>
      <c r="E97" s="191">
        <v>42376</v>
      </c>
      <c r="F97" s="192" t="s">
        <v>1236</v>
      </c>
      <c r="G97" s="456" t="s">
        <v>909</v>
      </c>
      <c r="H97" s="210" t="s">
        <v>1235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57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1"/>
      <c r="AC97" s="557" t="str">
        <f>IF(VLOOKUP(F97,NXT!$C$35:$C$411,1,0)=F97,"","x")</f>
        <v/>
      </c>
      <c r="AE97" s="211"/>
      <c r="AF97" s="211"/>
      <c r="AG97" s="211"/>
    </row>
    <row r="98" spans="1:33" s="557" customFormat="1" ht="15.75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1114</v>
      </c>
      <c r="E98" s="191">
        <v>42376</v>
      </c>
      <c r="F98" s="192" t="s">
        <v>1237</v>
      </c>
      <c r="G98" s="456" t="s">
        <v>909</v>
      </c>
      <c r="H98" s="210" t="s">
        <v>1235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57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1"/>
      <c r="AC98" s="557" t="str">
        <f>IF(VLOOKUP(F98,NXT!$C$35:$C$411,1,0)=F98,"","x")</f>
        <v/>
      </c>
      <c r="AE98" s="211"/>
      <c r="AF98" s="211"/>
      <c r="AG98" s="211"/>
    </row>
    <row r="99" spans="1:33" s="557" customFormat="1" ht="15.75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1114</v>
      </c>
      <c r="E99" s="191">
        <v>42376</v>
      </c>
      <c r="F99" s="192" t="s">
        <v>1238</v>
      </c>
      <c r="G99" s="456" t="s">
        <v>909</v>
      </c>
      <c r="H99" s="210" t="s">
        <v>1235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57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1"/>
      <c r="AC99" s="557" t="str">
        <f>IF(VLOOKUP(F99,NXT!$C$35:$C$411,1,0)=F99,"","x")</f>
        <v/>
      </c>
      <c r="AE99" s="211"/>
    </row>
    <row r="100" spans="1:33" s="557" customFormat="1" ht="15.75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1114</v>
      </c>
      <c r="E100" s="191">
        <v>42376</v>
      </c>
      <c r="F100" s="192" t="s">
        <v>1239</v>
      </c>
      <c r="G100" s="456" t="s">
        <v>909</v>
      </c>
      <c r="H100" s="210" t="s">
        <v>1235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57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1"/>
      <c r="AC100" s="557" t="str">
        <f>IF(VLOOKUP(F100,NXT!$C$35:$C$411,1,0)=F100,"","x")</f>
        <v/>
      </c>
      <c r="AE100" s="211"/>
    </row>
    <row r="101" spans="1:33" s="557" customFormat="1" ht="15.75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1114</v>
      </c>
      <c r="E101" s="191">
        <v>42376</v>
      </c>
      <c r="F101" s="192" t="s">
        <v>1240</v>
      </c>
      <c r="G101" s="456" t="s">
        <v>909</v>
      </c>
      <c r="H101" s="210" t="s">
        <v>1235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57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1"/>
      <c r="AC101" s="557" t="str">
        <f>IF(VLOOKUP(F101,NXT!$C$35:$C$411,1,0)=F101,"","x")</f>
        <v/>
      </c>
      <c r="AE101" s="211"/>
    </row>
    <row r="102" spans="1:33" s="557" customFormat="1" ht="15.75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1114</v>
      </c>
      <c r="E102" s="191">
        <v>42376</v>
      </c>
      <c r="F102" s="192" t="s">
        <v>1241</v>
      </c>
      <c r="G102" s="456" t="s">
        <v>909</v>
      </c>
      <c r="H102" s="210" t="s">
        <v>1235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57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1"/>
      <c r="AC102" s="557" t="str">
        <f>IF(VLOOKUP(F102,NXT!$C$35:$C$411,1,0)=F102,"","x")</f>
        <v/>
      </c>
      <c r="AE102" s="211"/>
    </row>
    <row r="103" spans="1:33" s="557" customFormat="1" ht="15.75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1114</v>
      </c>
      <c r="E103" s="191">
        <v>42376</v>
      </c>
      <c r="F103" s="192" t="s">
        <v>1242</v>
      </c>
      <c r="G103" s="456" t="s">
        <v>909</v>
      </c>
      <c r="H103" s="210" t="s">
        <v>1235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57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1"/>
      <c r="AC103" s="557" t="str">
        <f>IF(VLOOKUP(F103,NXT!$C$35:$C$411,1,0)=F103,"","x")</f>
        <v/>
      </c>
      <c r="AE103" s="211"/>
    </row>
    <row r="104" spans="1:33" s="557" customFormat="1" ht="15.75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1114</v>
      </c>
      <c r="E104" s="191">
        <v>42376</v>
      </c>
      <c r="F104" s="192" t="s">
        <v>1243</v>
      </c>
      <c r="G104" s="456" t="s">
        <v>909</v>
      </c>
      <c r="H104" s="210" t="s">
        <v>1235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57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1"/>
      <c r="AC104" s="557" t="str">
        <f>IF(VLOOKUP(F104,NXT!$C$35:$C$411,1,0)=F104,"","x")</f>
        <v/>
      </c>
      <c r="AD104" s="211"/>
      <c r="AE104" s="211"/>
    </row>
    <row r="105" spans="1:33" s="557" customFormat="1" ht="15.75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1114</v>
      </c>
      <c r="E105" s="191">
        <v>42376</v>
      </c>
      <c r="F105" s="192" t="s">
        <v>1244</v>
      </c>
      <c r="G105" s="456" t="s">
        <v>909</v>
      </c>
      <c r="H105" s="210" t="s">
        <v>1235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57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1"/>
      <c r="AC105" s="557" t="str">
        <f>IF(VLOOKUP(F105,NXT!$C$35:$C$411,1,0)=F105,"","x")</f>
        <v/>
      </c>
      <c r="AE105" s="211"/>
    </row>
    <row r="106" spans="1:33" s="557" customFormat="1" ht="15.75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1114</v>
      </c>
      <c r="E106" s="191">
        <v>42376</v>
      </c>
      <c r="F106" s="192" t="s">
        <v>1245</v>
      </c>
      <c r="G106" s="192" t="s">
        <v>909</v>
      </c>
      <c r="H106" s="210" t="s">
        <v>1235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57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1"/>
      <c r="AC106" s="557" t="str">
        <f>IF(VLOOKUP(F106,NXT!$C$35:$C$411,1,0)=F106,"","x")</f>
        <v/>
      </c>
      <c r="AD106" s="211"/>
      <c r="AE106" s="211"/>
    </row>
    <row r="107" spans="1:33" s="557" customFormat="1" ht="15.75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1114</v>
      </c>
      <c r="E107" s="191">
        <v>42376</v>
      </c>
      <c r="F107" s="192" t="s">
        <v>555</v>
      </c>
      <c r="G107" s="456" t="s">
        <v>909</v>
      </c>
      <c r="H107" s="210" t="s">
        <v>1235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57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1"/>
      <c r="AC107" s="557" t="str">
        <f>IF(VLOOKUP(H107,DS_131,1,0)=H107,"","x")</f>
        <v/>
      </c>
      <c r="AE107" s="211"/>
    </row>
    <row r="108" spans="1:33" s="557" customFormat="1" ht="15.75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1115</v>
      </c>
      <c r="E108" s="191">
        <v>42376</v>
      </c>
      <c r="F108" s="192" t="s">
        <v>910</v>
      </c>
      <c r="G108" s="456" t="s">
        <v>911</v>
      </c>
      <c r="H108" s="749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57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1"/>
      <c r="AC108" s="557" t="str">
        <f>IF(VLOOKUP(F108,NXT!$C$35:$C$411,1,0)=F108,"","x")</f>
        <v/>
      </c>
      <c r="AE108" s="211"/>
    </row>
    <row r="109" spans="1:33" s="557" customFormat="1" ht="15.75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1115</v>
      </c>
      <c r="E109" s="191">
        <v>42376</v>
      </c>
      <c r="F109" s="192" t="s">
        <v>912</v>
      </c>
      <c r="G109" s="456" t="s">
        <v>911</v>
      </c>
      <c r="H109" s="749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57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1"/>
      <c r="AC109" s="557" t="str">
        <f>IF(VLOOKUP(F109,NXT!$C$35:$C$411,1,0)=F109,"","x")</f>
        <v/>
      </c>
      <c r="AE109" s="211"/>
    </row>
    <row r="110" spans="1:33" s="557" customFormat="1" ht="15.75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1115</v>
      </c>
      <c r="E110" s="191">
        <v>42376</v>
      </c>
      <c r="F110" s="192" t="s">
        <v>913</v>
      </c>
      <c r="G110" s="456" t="s">
        <v>911</v>
      </c>
      <c r="H110" s="749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57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1"/>
      <c r="AC110" s="557" t="str">
        <f>IF(VLOOKUP(F110,NXT!$C$35:$C$411,1,0)=F110,"","x")</f>
        <v/>
      </c>
      <c r="AE110" s="211"/>
    </row>
    <row r="111" spans="1:33" s="557" customFormat="1" ht="15.75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1115</v>
      </c>
      <c r="E111" s="191">
        <v>42376</v>
      </c>
      <c r="F111" s="40" t="s">
        <v>710</v>
      </c>
      <c r="G111" s="192" t="s">
        <v>911</v>
      </c>
      <c r="H111" s="749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57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1"/>
      <c r="AE111" s="211"/>
    </row>
    <row r="112" spans="1:33" s="557" customFormat="1" ht="15.75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1115</v>
      </c>
      <c r="E112" s="191">
        <v>42376</v>
      </c>
      <c r="F112" s="192" t="s">
        <v>423</v>
      </c>
      <c r="G112" s="456" t="s">
        <v>911</v>
      </c>
      <c r="H112" s="749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57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1"/>
      <c r="AC112" s="557" t="str">
        <f>IF(VLOOKUP(H112,DS_131,1,0)=H112,"","x")</f>
        <v/>
      </c>
      <c r="AD112" s="211"/>
      <c r="AE112" s="211"/>
    </row>
    <row r="113" spans="1:31" s="557" customFormat="1" ht="15.75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1116</v>
      </c>
      <c r="E113" s="191">
        <v>42376</v>
      </c>
      <c r="F113" s="40" t="s">
        <v>710</v>
      </c>
      <c r="G113" s="192" t="s">
        <v>914</v>
      </c>
      <c r="H113" s="749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57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1"/>
      <c r="AE113" s="211"/>
    </row>
    <row r="114" spans="1:31" s="557" customFormat="1" ht="15.75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1116</v>
      </c>
      <c r="E114" s="191">
        <v>42376</v>
      </c>
      <c r="F114" s="192" t="s">
        <v>423</v>
      </c>
      <c r="G114" s="456" t="s">
        <v>914</v>
      </c>
      <c r="H114" s="749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57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1"/>
      <c r="AC114" s="557" t="str">
        <f>IF(VLOOKUP(H114,DS_131,1,0)=H114,"","x")</f>
        <v/>
      </c>
      <c r="AE114" s="211"/>
    </row>
    <row r="115" spans="1:31" s="557" customFormat="1" ht="15.75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1117</v>
      </c>
      <c r="E115" s="191">
        <v>42377</v>
      </c>
      <c r="F115" s="192" t="s">
        <v>640</v>
      </c>
      <c r="G115" s="192" t="s">
        <v>915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57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1"/>
      <c r="AC115" s="557" t="str">
        <f>IF(VLOOKUP(F115,NXT!$C$35:$C$411,1,0)=F115,"","x")</f>
        <v/>
      </c>
      <c r="AE115" s="211"/>
    </row>
    <row r="116" spans="1:31" s="557" customFormat="1" ht="15.75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1117</v>
      </c>
      <c r="E116" s="191">
        <v>42377</v>
      </c>
      <c r="F116" s="192" t="s">
        <v>423</v>
      </c>
      <c r="G116" s="456" t="s">
        <v>915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57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1"/>
      <c r="AC116" s="557" t="str">
        <f>IF(VLOOKUP(H116,DS_131,1,0)=H116,"","x")</f>
        <v/>
      </c>
      <c r="AE116" s="211"/>
    </row>
    <row r="117" spans="1:31" s="557" customFormat="1" ht="15.75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49" t="s">
        <v>808</v>
      </c>
      <c r="I117" s="256"/>
      <c r="J117" s="256"/>
      <c r="K117" s="565">
        <v>7730580</v>
      </c>
      <c r="L117" s="566" t="s">
        <v>24</v>
      </c>
      <c r="M117" s="566" t="s">
        <v>259</v>
      </c>
      <c r="N117" s="52" t="str">
        <f>IF(AND('331-CT'!$E$7=TH!H117,OR(L117="331",M117="331")),"331",IF(AND(OR(L117="131",M117="131"),H117='131-CT'!$E$7),"131",""))</f>
        <v>131</v>
      </c>
      <c r="O117" s="857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1"/>
      <c r="AC117" s="557" t="str">
        <f>IF(VLOOKUP(H117,DS_131,1,0)=H117,"","x")</f>
        <v/>
      </c>
    </row>
    <row r="118" spans="1:31" s="557" customFormat="1" ht="15.75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65">
        <v>5850000</v>
      </c>
      <c r="L118" s="566" t="s">
        <v>24</v>
      </c>
      <c r="M118" s="566" t="s">
        <v>259</v>
      </c>
      <c r="N118" s="52" t="str">
        <f>IF(AND('331-CT'!$E$7=TH!H118,OR(L118="331",M118="331")),"331",IF(AND(OR(L118="131",M118="131"),H118='131-CT'!$E$7),"131",""))</f>
        <v/>
      </c>
      <c r="O118" s="857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1"/>
      <c r="AC118" s="557" t="str">
        <f>IF(VLOOKUP(H118,DS_131,1,0)=H118,"","x")</f>
        <v/>
      </c>
    </row>
    <row r="119" spans="1:31" s="557" customFormat="1" ht="15.75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65">
        <v>29539400</v>
      </c>
      <c r="L119" s="566" t="s">
        <v>24</v>
      </c>
      <c r="M119" s="566" t="s">
        <v>259</v>
      </c>
      <c r="N119" s="52" t="str">
        <f>IF(AND('331-CT'!$E$7=TH!H119,OR(L119="331",M119="331")),"331",IF(AND(OR(L119="131",M119="131"),H119='131-CT'!$E$7),"131",""))</f>
        <v/>
      </c>
      <c r="O119" s="857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1"/>
      <c r="AC119" s="557" t="str">
        <f>IF(VLOOKUP(H119,DS_131,1,0)=H119,"","x")</f>
        <v/>
      </c>
    </row>
    <row r="120" spans="1:31" s="557" customFormat="1" ht="15.75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65">
        <v>25488100</v>
      </c>
      <c r="L120" s="566" t="s">
        <v>24</v>
      </c>
      <c r="M120" s="566" t="s">
        <v>259</v>
      </c>
      <c r="N120" s="52" t="str">
        <f>IF(AND('331-CT'!$E$7=TH!H120,OR(L120="331",M120="331")),"331",IF(AND(OR(L120="131",M120="131"),H120='131-CT'!$E$7),"131",""))</f>
        <v/>
      </c>
      <c r="O120" s="857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1"/>
      <c r="AC120" s="557" t="str">
        <f>IF(VLOOKUP(H120,DS_131,1,0)=H120,"","x")</f>
        <v/>
      </c>
    </row>
    <row r="121" spans="1:31" s="557" customFormat="1" ht="15.75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1118</v>
      </c>
      <c r="E121" s="191">
        <v>42381</v>
      </c>
      <c r="F121" s="192" t="s">
        <v>484</v>
      </c>
      <c r="G121" s="192" t="s">
        <v>916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57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1"/>
      <c r="AC121" s="557" t="str">
        <f>IF(VLOOKUP(F121,NXT!$C$35:$C$411,1,0)=F121,"","x")</f>
        <v/>
      </c>
      <c r="AD121" s="211"/>
      <c r="AE121" s="211"/>
    </row>
    <row r="122" spans="1:31" s="557" customFormat="1" ht="15.75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1118</v>
      </c>
      <c r="E122" s="191">
        <v>42381</v>
      </c>
      <c r="F122" s="192" t="s">
        <v>423</v>
      </c>
      <c r="G122" s="456" t="s">
        <v>916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57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1"/>
      <c r="AC122" s="557" t="str">
        <f>IF(VLOOKUP(H122,DS_131,1,0)=H122,"","x")</f>
        <v/>
      </c>
      <c r="AE122" s="211"/>
    </row>
    <row r="123" spans="1:31" s="557" customFormat="1" ht="15.75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49" t="s">
        <v>808</v>
      </c>
      <c r="I123" s="256"/>
      <c r="J123" s="256"/>
      <c r="K123" s="565">
        <v>5454790</v>
      </c>
      <c r="L123" s="566" t="s">
        <v>24</v>
      </c>
      <c r="M123" s="566" t="s">
        <v>259</v>
      </c>
      <c r="N123" s="52" t="str">
        <f>IF(AND('331-CT'!$E$7=TH!H123,OR(L123="331",M123="331")),"331",IF(AND(OR(L123="131",M123="131"),H123='131-CT'!$E$7),"131",""))</f>
        <v>131</v>
      </c>
      <c r="O123" s="857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1"/>
      <c r="AC123" s="557" t="str">
        <f>IF(VLOOKUP(H123,DS_131,1,0)=H123,"","x")</f>
        <v/>
      </c>
    </row>
    <row r="124" spans="1:31" s="557" customFormat="1" ht="15.75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66" t="s">
        <v>24</v>
      </c>
      <c r="N124" s="52" t="str">
        <f>IF(AND('331-CT'!$E$7=TH!H124,OR(L124="331",M124="331")),"331",IF(AND(OR(L124="131",M124="131"),H124='131-CT'!$E$7),"131",""))</f>
        <v/>
      </c>
      <c r="O124" s="857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1"/>
    </row>
    <row r="125" spans="1:31" s="557" customFormat="1" ht="15.75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1119</v>
      </c>
      <c r="E125" s="191">
        <v>42382</v>
      </c>
      <c r="F125" s="192" t="s">
        <v>570</v>
      </c>
      <c r="G125" s="192" t="s">
        <v>917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57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1"/>
      <c r="AC125" s="557" t="str">
        <f>IF(VLOOKUP(F125,NXT!$C$35:$C$411,1,0)=F125,"","x")</f>
        <v/>
      </c>
      <c r="AE125" s="211"/>
    </row>
    <row r="126" spans="1:31" s="557" customFormat="1" ht="15.75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1119</v>
      </c>
      <c r="E126" s="191">
        <v>42382</v>
      </c>
      <c r="F126" s="192" t="s">
        <v>423</v>
      </c>
      <c r="G126" s="192" t="s">
        <v>917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57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1"/>
      <c r="AC126" s="557" t="str">
        <f>IF(VLOOKUP(H126,DS_131,1,0)=H126,"","x")</f>
        <v/>
      </c>
      <c r="AD126" s="211"/>
      <c r="AE126" s="211"/>
    </row>
    <row r="127" spans="1:31" s="557" customFormat="1" ht="15.75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1120</v>
      </c>
      <c r="E127" s="191">
        <v>42382</v>
      </c>
      <c r="F127" s="192" t="s">
        <v>445</v>
      </c>
      <c r="G127" s="192" t="s">
        <v>918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57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1"/>
      <c r="AC127" s="557" t="str">
        <f>IF(VLOOKUP(F127,NXT!$C$35:$C$411,1,0)=F127,"","x")</f>
        <v/>
      </c>
      <c r="AE127" s="211"/>
    </row>
    <row r="128" spans="1:31" s="557" customFormat="1" ht="15.75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1120</v>
      </c>
      <c r="E128" s="191">
        <v>42382</v>
      </c>
      <c r="F128" s="192" t="s">
        <v>507</v>
      </c>
      <c r="G128" s="192" t="s">
        <v>918</v>
      </c>
      <c r="H128" s="750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57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1"/>
      <c r="AC128" s="557" t="str">
        <f>IF(VLOOKUP(F128,NXT!$C$35:$C$411,1,0)=F128,"","x")</f>
        <v/>
      </c>
      <c r="AD128" s="211"/>
      <c r="AE128" s="211"/>
    </row>
    <row r="129" spans="1:33" s="557" customFormat="1" ht="15.75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1120</v>
      </c>
      <c r="E129" s="191">
        <v>42382</v>
      </c>
      <c r="F129" s="192" t="s">
        <v>423</v>
      </c>
      <c r="G129" s="192" t="s">
        <v>918</v>
      </c>
      <c r="H129" s="750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57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1"/>
      <c r="AC129" s="557" t="str">
        <f>IF(VLOOKUP(H129,DS_131,1,0)=H129,"","x")</f>
        <v/>
      </c>
      <c r="AE129" s="211"/>
    </row>
    <row r="130" spans="1:33" s="557" customFormat="1" ht="15.75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1121</v>
      </c>
      <c r="E130" s="191">
        <v>42383</v>
      </c>
      <c r="F130" s="192" t="s">
        <v>445</v>
      </c>
      <c r="G130" s="456" t="s">
        <v>863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57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1"/>
      <c r="AC130" s="557" t="str">
        <f>IF(VLOOKUP(F130,NXT!$C$35:$C$411,1,0)=F130,"","x")</f>
        <v/>
      </c>
      <c r="AD130" s="211"/>
      <c r="AE130" s="211"/>
    </row>
    <row r="131" spans="1:33" s="557" customFormat="1" ht="15.75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1121</v>
      </c>
      <c r="E131" s="191">
        <v>42383</v>
      </c>
      <c r="F131" s="192" t="s">
        <v>993</v>
      </c>
      <c r="G131" s="192" t="s">
        <v>863</v>
      </c>
      <c r="H131" s="867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57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1"/>
      <c r="AC131" s="557" t="str">
        <f>IF(VLOOKUP(F131,NXT!$C$35:$C$411,1,0)=F131,"","x")</f>
        <v/>
      </c>
      <c r="AE131" s="211"/>
    </row>
    <row r="132" spans="1:33" s="557" customFormat="1" ht="15.75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1121</v>
      </c>
      <c r="E132" s="191">
        <v>42383</v>
      </c>
      <c r="F132" s="192" t="s">
        <v>423</v>
      </c>
      <c r="G132" s="873" t="s">
        <v>863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57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1"/>
      <c r="AC132" s="557" t="str">
        <f>IF(VLOOKUP(H132,DS_131,1,0)=H132,"","x")</f>
        <v/>
      </c>
      <c r="AE132" s="211"/>
    </row>
    <row r="133" spans="1:33" s="557" customFormat="1" ht="15.75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1122</v>
      </c>
      <c r="E133" s="191">
        <v>42383</v>
      </c>
      <c r="F133" s="192" t="s">
        <v>676</v>
      </c>
      <c r="G133" s="192" t="s">
        <v>864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57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1"/>
      <c r="AC133" s="557" t="str">
        <f>IF(VLOOKUP(F133,NXT!$C$35:$C$411,1,0)=F133,"","x")</f>
        <v/>
      </c>
      <c r="AE133" s="211"/>
    </row>
    <row r="134" spans="1:33" s="557" customFormat="1" ht="15.75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1122</v>
      </c>
      <c r="E134" s="191">
        <v>42383</v>
      </c>
      <c r="F134" s="192" t="s">
        <v>423</v>
      </c>
      <c r="G134" s="873" t="s">
        <v>864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57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1"/>
      <c r="AC134" s="557" t="str">
        <f>IF(VLOOKUP(H134,DS_131,1,0)=H134,"","x")</f>
        <v/>
      </c>
      <c r="AE134" s="211"/>
    </row>
    <row r="135" spans="1:33" s="557" customFormat="1" ht="15.75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1123</v>
      </c>
      <c r="E135" s="191">
        <v>42383</v>
      </c>
      <c r="F135" s="189" t="s">
        <v>1465</v>
      </c>
      <c r="G135" s="192" t="s">
        <v>919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57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1"/>
      <c r="AC135" s="557" t="str">
        <f>IF(VLOOKUP(F135,NXT!$C$35:$C$411,1,0)=F135,"","x")</f>
        <v/>
      </c>
      <c r="AE135" s="211"/>
    </row>
    <row r="136" spans="1:33" s="557" customFormat="1" ht="15.75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1123</v>
      </c>
      <c r="E136" s="191">
        <v>42383</v>
      </c>
      <c r="F136" s="192" t="s">
        <v>1466</v>
      </c>
      <c r="G136" s="192" t="s">
        <v>919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57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1"/>
      <c r="AC136" s="557" t="str">
        <f>IF(VLOOKUP(F136,NXT!$C$35:$C$411,1,0)=F136,"","x")</f>
        <v/>
      </c>
      <c r="AD136" s="211"/>
      <c r="AE136" s="211"/>
    </row>
    <row r="137" spans="1:33" s="557" customFormat="1" ht="15.75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1123</v>
      </c>
      <c r="E137" s="191">
        <v>42383</v>
      </c>
      <c r="F137" s="189" t="s">
        <v>1337</v>
      </c>
      <c r="G137" s="192" t="s">
        <v>919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57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1"/>
      <c r="AC137" s="557" t="str">
        <f>IF(VLOOKUP(F137,NXT!$C$35:$C$411,1,0)=F137,"","x")</f>
        <v/>
      </c>
      <c r="AE137" s="211"/>
    </row>
    <row r="138" spans="1:33" s="557" customFormat="1" ht="15.75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1123</v>
      </c>
      <c r="E138" s="191">
        <v>42383</v>
      </c>
      <c r="F138" s="189" t="s">
        <v>1341</v>
      </c>
      <c r="G138" s="456" t="s">
        <v>919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57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1"/>
      <c r="AC138" s="557" t="str">
        <f>IF(VLOOKUP(F138,NXT!$C$35:$C$411,1,0)=F138,"","x")</f>
        <v/>
      </c>
      <c r="AD138" s="211"/>
      <c r="AE138" s="211"/>
      <c r="AF138" s="211"/>
      <c r="AG138" s="211"/>
    </row>
    <row r="139" spans="1:33" s="557" customFormat="1" ht="15.75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1123</v>
      </c>
      <c r="E139" s="191">
        <v>42383</v>
      </c>
      <c r="F139" s="192" t="s">
        <v>423</v>
      </c>
      <c r="G139" s="192" t="s">
        <v>919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57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1"/>
      <c r="AC139" s="557" t="str">
        <f>IF(VLOOKUP(H139,DS_131,1,0)=H139,"","x")</f>
        <v/>
      </c>
      <c r="AE139" s="211"/>
      <c r="AF139" s="211"/>
      <c r="AG139" s="211"/>
    </row>
    <row r="140" spans="1:33" s="557" customFormat="1" ht="15.75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1124</v>
      </c>
      <c r="E140" s="191">
        <v>42383</v>
      </c>
      <c r="F140" s="192" t="s">
        <v>1474</v>
      </c>
      <c r="G140" s="456" t="s">
        <v>920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57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1"/>
      <c r="AC140" s="557" t="str">
        <f>IF(VLOOKUP(F140,NXT!$C$35:$C$411,1,0)=F140,"","x")</f>
        <v/>
      </c>
      <c r="AE140" s="211"/>
      <c r="AF140" s="211"/>
      <c r="AG140" s="211"/>
    </row>
    <row r="141" spans="1:33" s="557" customFormat="1" ht="15.75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1124</v>
      </c>
      <c r="E141" s="191">
        <v>42383</v>
      </c>
      <c r="F141" s="192" t="s">
        <v>423</v>
      </c>
      <c r="G141" s="192" t="s">
        <v>920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57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1"/>
      <c r="AC141" s="557" t="str">
        <f>IF(VLOOKUP(H141,DS_131,1,0)=H141,"","x")</f>
        <v/>
      </c>
      <c r="AE141" s="211"/>
      <c r="AF141" s="211"/>
      <c r="AG141" s="211"/>
    </row>
    <row r="142" spans="1:33" s="557" customFormat="1" ht="15.75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1125</v>
      </c>
      <c r="E142" s="191">
        <v>42383</v>
      </c>
      <c r="F142" s="192" t="s">
        <v>689</v>
      </c>
      <c r="G142" s="456" t="s">
        <v>921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57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1"/>
      <c r="AC142" s="557" t="str">
        <f>IF(VLOOKUP(F142,NXT!$C$35:$C$411,1,0)=F142,"","x")</f>
        <v/>
      </c>
      <c r="AE142" s="211"/>
      <c r="AF142" s="211"/>
      <c r="AG142" s="211"/>
    </row>
    <row r="143" spans="1:33" s="557" customFormat="1" ht="15.75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1125</v>
      </c>
      <c r="E143" s="191">
        <v>42383</v>
      </c>
      <c r="F143" s="192" t="s">
        <v>688</v>
      </c>
      <c r="G143" s="192" t="s">
        <v>921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57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1"/>
      <c r="AC143" s="557" t="str">
        <f>IF(VLOOKUP(F143,NXT!$C$35:$C$411,1,0)=F143,"","x")</f>
        <v/>
      </c>
      <c r="AE143" s="211"/>
      <c r="AF143" s="211"/>
      <c r="AG143" s="211"/>
    </row>
    <row r="144" spans="1:33" s="557" customFormat="1" ht="15.75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1125</v>
      </c>
      <c r="E144" s="191">
        <v>42383</v>
      </c>
      <c r="F144" s="192" t="s">
        <v>423</v>
      </c>
      <c r="G144" s="456" t="s">
        <v>921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57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1"/>
      <c r="AC144" s="557" t="str">
        <f>IF(VLOOKUP(H144,DS_131,1,0)=H144,"","x")</f>
        <v/>
      </c>
      <c r="AF144" s="211"/>
      <c r="AG144" s="211"/>
    </row>
    <row r="145" spans="1:33" s="557" customFormat="1" ht="15.75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1126</v>
      </c>
      <c r="E145" s="191">
        <v>42383</v>
      </c>
      <c r="F145" s="192" t="s">
        <v>728</v>
      </c>
      <c r="G145" s="192" t="s">
        <v>922</v>
      </c>
      <c r="H145" s="210" t="s">
        <v>1235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57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1"/>
      <c r="AC145" s="557" t="str">
        <f>IF(VLOOKUP(F145,NXT!$C$35:$C$411,1,0)=F145,"","x")</f>
        <v/>
      </c>
      <c r="AF145" s="211"/>
      <c r="AG145" s="211"/>
    </row>
    <row r="146" spans="1:33" s="557" customFormat="1" ht="15.75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1126</v>
      </c>
      <c r="E146" s="191">
        <v>42383</v>
      </c>
      <c r="F146" s="192" t="s">
        <v>736</v>
      </c>
      <c r="G146" s="192" t="s">
        <v>922</v>
      </c>
      <c r="H146" s="210" t="s">
        <v>1235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57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1"/>
      <c r="AC146" s="557" t="str">
        <f>IF(VLOOKUP(F146,NXT!$C$35:$C$411,1,0)=F146,"","x")</f>
        <v/>
      </c>
      <c r="AF146" s="211"/>
      <c r="AG146" s="211"/>
    </row>
    <row r="147" spans="1:33" s="557" customFormat="1" ht="15.75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1126</v>
      </c>
      <c r="E147" s="191">
        <v>42383</v>
      </c>
      <c r="F147" s="192" t="s">
        <v>1246</v>
      </c>
      <c r="G147" s="192" t="s">
        <v>922</v>
      </c>
      <c r="H147" s="210" t="s">
        <v>1235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57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1"/>
      <c r="AC147" s="557" t="str">
        <f>IF(VLOOKUP(F147,NXT!$C$35:$C$411,1,0)=F147,"","x")</f>
        <v/>
      </c>
      <c r="AE147" s="211"/>
      <c r="AF147" s="211"/>
      <c r="AG147" s="211"/>
    </row>
    <row r="148" spans="1:33" s="557" customFormat="1" ht="15.75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1126</v>
      </c>
      <c r="E148" s="191">
        <v>42383</v>
      </c>
      <c r="F148" s="192" t="s">
        <v>1247</v>
      </c>
      <c r="G148" s="192" t="s">
        <v>922</v>
      </c>
      <c r="H148" s="210" t="s">
        <v>1235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57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1"/>
      <c r="AC148" s="557" t="str">
        <f>IF(VLOOKUP(F148,NXT!$C$35:$C$411,1,0)=F148,"","x")</f>
        <v/>
      </c>
      <c r="AE148" s="211"/>
      <c r="AF148" s="211"/>
      <c r="AG148" s="211"/>
    </row>
    <row r="149" spans="1:33" s="557" customFormat="1" ht="15.75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1126</v>
      </c>
      <c r="E149" s="191">
        <v>42383</v>
      </c>
      <c r="F149" s="192" t="s">
        <v>1248</v>
      </c>
      <c r="G149" s="192" t="s">
        <v>922</v>
      </c>
      <c r="H149" s="210" t="s">
        <v>1235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57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1"/>
      <c r="AC149" s="557" t="str">
        <f>IF(VLOOKUP(F149,NXT!$C$35:$C$411,1,0)=F149,"","x")</f>
        <v/>
      </c>
      <c r="AD149" s="211"/>
      <c r="AE149" s="211"/>
      <c r="AF149" s="211"/>
      <c r="AG149" s="211"/>
    </row>
    <row r="150" spans="1:33" s="557" customFormat="1" ht="15.75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1126</v>
      </c>
      <c r="E150" s="191">
        <v>42383</v>
      </c>
      <c r="F150" s="192" t="s">
        <v>1249</v>
      </c>
      <c r="G150" s="192" t="s">
        <v>922</v>
      </c>
      <c r="H150" s="210" t="s">
        <v>1235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57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1"/>
      <c r="AC150" s="557" t="str">
        <f>IF(VLOOKUP(F150,NXT!$C$35:$C$411,1,0)=F150,"","x")</f>
        <v/>
      </c>
      <c r="AE150" s="211"/>
      <c r="AF150" s="211"/>
      <c r="AG150" s="211"/>
    </row>
    <row r="151" spans="1:33" s="557" customFormat="1" ht="15.75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1126</v>
      </c>
      <c r="E151" s="191">
        <v>42383</v>
      </c>
      <c r="F151" s="192" t="s">
        <v>1250</v>
      </c>
      <c r="G151" s="192" t="s">
        <v>922</v>
      </c>
      <c r="H151" s="210" t="s">
        <v>1235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57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1"/>
      <c r="AC151" s="557" t="str">
        <f>IF(VLOOKUP(F151,NXT!$C$35:$C$411,1,0)=F151,"","x")</f>
        <v/>
      </c>
      <c r="AD151" s="211"/>
      <c r="AE151" s="211"/>
      <c r="AF151" s="211"/>
      <c r="AG151" s="211"/>
    </row>
    <row r="152" spans="1:33" s="557" customFormat="1" ht="15.75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1126</v>
      </c>
      <c r="E152" s="191">
        <v>42383</v>
      </c>
      <c r="F152" s="192" t="s">
        <v>1251</v>
      </c>
      <c r="G152" s="192" t="s">
        <v>922</v>
      </c>
      <c r="H152" s="210" t="s">
        <v>1235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57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1"/>
      <c r="AC152" s="557" t="str">
        <f>IF(VLOOKUP(F152,NXT!$C$35:$C$411,1,0)=F152,"","x")</f>
        <v/>
      </c>
      <c r="AE152" s="211"/>
      <c r="AF152" s="211"/>
      <c r="AG152" s="211"/>
    </row>
    <row r="153" spans="1:33" s="557" customFormat="1" ht="15.75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1126</v>
      </c>
      <c r="E153" s="191">
        <v>42383</v>
      </c>
      <c r="F153" s="192" t="s">
        <v>555</v>
      </c>
      <c r="G153" s="192" t="s">
        <v>922</v>
      </c>
      <c r="H153" s="210" t="s">
        <v>1235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57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1"/>
      <c r="AC153" s="557" t="str">
        <f>IF(VLOOKUP(H153,DS_131,1,0)=H153,"","x")</f>
        <v/>
      </c>
      <c r="AE153" s="211"/>
      <c r="AF153" s="211"/>
      <c r="AG153" s="211"/>
    </row>
    <row r="154" spans="1:33" s="557" customFormat="1" ht="15.75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65">
        <v>20020770</v>
      </c>
      <c r="L154" s="566" t="s">
        <v>24</v>
      </c>
      <c r="M154" s="566" t="s">
        <v>259</v>
      </c>
      <c r="N154" s="52" t="str">
        <f>IF(AND('331-CT'!$E$7=TH!H154,OR(L154="331",M154="331")),"331",IF(AND(OR(L154="131",M154="131"),H154='131-CT'!$E$7),"131",""))</f>
        <v/>
      </c>
      <c r="O154" s="857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1"/>
      <c r="AC154" s="557" t="str">
        <f>IF(VLOOKUP(H154,DS_131,1,0)=H154,"","x")</f>
        <v/>
      </c>
      <c r="AD154" s="211"/>
    </row>
    <row r="155" spans="1:33" s="557" customFormat="1" ht="15.75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66" t="s">
        <v>24</v>
      </c>
      <c r="N155" s="52" t="str">
        <f>IF(AND('331-CT'!$E$7=TH!H155,OR(L155="331",M155="331")),"331",IF(AND(OR(L155="131",M155="131"),H155='131-CT'!$E$7),"131",""))</f>
        <v/>
      </c>
      <c r="O155" s="857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1"/>
      <c r="AE155" s="211"/>
    </row>
    <row r="156" spans="1:33" s="557" customFormat="1" ht="15.75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1127</v>
      </c>
      <c r="E156" s="191">
        <v>42385</v>
      </c>
      <c r="F156" s="192" t="s">
        <v>471</v>
      </c>
      <c r="G156" s="192" t="s">
        <v>923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57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1"/>
      <c r="AC156" s="557" t="str">
        <f>IF(VLOOKUP(F156,NXT!$C$35:$C$411,1,0)=F156,"","x")</f>
        <v/>
      </c>
      <c r="AE156" s="211"/>
      <c r="AF156" s="211"/>
      <c r="AG156" s="211"/>
    </row>
    <row r="157" spans="1:33" s="557" customFormat="1" ht="15.75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1127</v>
      </c>
      <c r="E157" s="191">
        <v>42385</v>
      </c>
      <c r="F157" s="192" t="s">
        <v>423</v>
      </c>
      <c r="G157" s="192" t="s">
        <v>923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57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1"/>
      <c r="AC157" s="557" t="str">
        <f>IF(VLOOKUP(H157,DS_131,1,0)=H157,"","x")</f>
        <v/>
      </c>
      <c r="AE157" s="211"/>
      <c r="AF157" s="211"/>
      <c r="AG157" s="211"/>
    </row>
    <row r="158" spans="1:33" s="557" customFormat="1" ht="15.75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1128</v>
      </c>
      <c r="E158" s="191">
        <v>42385</v>
      </c>
      <c r="F158" s="192" t="s">
        <v>924</v>
      </c>
      <c r="G158" s="192" t="s">
        <v>925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57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1"/>
      <c r="AC158" s="557" t="str">
        <f>IF(VLOOKUP(F158,NXT!$C$35:$C$411,1,0)=F158,"","x")</f>
        <v/>
      </c>
      <c r="AD158" s="211"/>
      <c r="AE158" s="211"/>
      <c r="AF158" s="211"/>
      <c r="AG158" s="211"/>
    </row>
    <row r="159" spans="1:33" s="557" customFormat="1" ht="15.75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1128</v>
      </c>
      <c r="E159" s="191">
        <v>42385</v>
      </c>
      <c r="F159" s="192" t="s">
        <v>926</v>
      </c>
      <c r="G159" s="192" t="s">
        <v>925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57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1"/>
      <c r="AC159" s="557" t="str">
        <f>IF(VLOOKUP(F159,NXT!$C$35:$C$411,1,0)=F159,"","x")</f>
        <v/>
      </c>
      <c r="AE159" s="211"/>
      <c r="AF159" s="211"/>
      <c r="AG159" s="211"/>
    </row>
    <row r="160" spans="1:33" s="557" customFormat="1" ht="15.75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1128</v>
      </c>
      <c r="E160" s="191">
        <v>42385</v>
      </c>
      <c r="F160" s="192" t="s">
        <v>927</v>
      </c>
      <c r="G160" s="192" t="s">
        <v>925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57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1"/>
      <c r="AC160" s="557" t="str">
        <f>IF(VLOOKUP(F160,NXT!$C$35:$C$411,1,0)=F160,"","x")</f>
        <v/>
      </c>
      <c r="AE160" s="211"/>
      <c r="AF160" s="211"/>
      <c r="AG160" s="211"/>
    </row>
    <row r="161" spans="1:33" s="557" customFormat="1" ht="15.75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1128</v>
      </c>
      <c r="E161" s="191">
        <v>42385</v>
      </c>
      <c r="F161" s="192" t="s">
        <v>423</v>
      </c>
      <c r="G161" s="192" t="s">
        <v>925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57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1"/>
      <c r="AC161" s="557" t="str">
        <f>IF(VLOOKUP(H161,DS_131,1,0)=H161,"","x")</f>
        <v/>
      </c>
      <c r="AE161" s="211"/>
      <c r="AF161" s="211"/>
      <c r="AG161" s="211"/>
    </row>
    <row r="162" spans="1:33" s="557" customFormat="1" ht="15.75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65">
        <v>9973249</v>
      </c>
      <c r="L162" s="566" t="s">
        <v>24</v>
      </c>
      <c r="M162" s="566" t="s">
        <v>259</v>
      </c>
      <c r="N162" s="52" t="str">
        <f>IF(AND('331-CT'!$E$7=TH!H162,OR(L162="331",M162="331")),"331",IF(AND(OR(L162="131",M162="131"),H162='131-CT'!$E$7),"131",""))</f>
        <v/>
      </c>
      <c r="O162" s="857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1"/>
      <c r="AC162" s="557" t="str">
        <f>IF(VLOOKUP(H162,DS_131,1,0)=H162,"","x")</f>
        <v/>
      </c>
    </row>
    <row r="163" spans="1:33" s="557" customFormat="1" ht="15.75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65">
        <v>2000000</v>
      </c>
      <c r="L163" s="566" t="s">
        <v>24</v>
      </c>
      <c r="M163" s="566" t="s">
        <v>47</v>
      </c>
      <c r="N163" s="52" t="str">
        <f>IF(AND('331-CT'!$E$7=TH!H163,OR(L163="331",M163="331")),"331",IF(AND(OR(L163="131",M163="131"),H163='131-CT'!$E$7),"131",""))</f>
        <v/>
      </c>
      <c r="O163" s="857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1"/>
      <c r="AD163" s="211"/>
    </row>
    <row r="164" spans="1:33" s="557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66" t="s">
        <v>24</v>
      </c>
      <c r="N164" s="52" t="str">
        <f>IF(AND('331-CT'!$E$7=TH!H164,OR(L164="331",M164="331")),"331",IF(AND(OR(L164="131",M164="131"),H164='131-CT'!$E$7),"131",""))</f>
        <v/>
      </c>
      <c r="O164" s="857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1"/>
    </row>
    <row r="165" spans="1:33" s="557" customFormat="1" ht="15.75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1129</v>
      </c>
      <c r="E165" s="191">
        <v>42388</v>
      </c>
      <c r="F165" s="192" t="s">
        <v>928</v>
      </c>
      <c r="G165" s="192" t="s">
        <v>929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57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1"/>
      <c r="AC165" s="557" t="str">
        <f>IF(VLOOKUP(F165,NXT!$C$35:$C$411,1,0)=F165,"","x")</f>
        <v/>
      </c>
      <c r="AE165" s="211"/>
      <c r="AF165" s="211"/>
      <c r="AG165" s="211"/>
    </row>
    <row r="166" spans="1:33" s="557" customFormat="1" ht="15.75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1129</v>
      </c>
      <c r="E166" s="191">
        <v>42388</v>
      </c>
      <c r="F166" s="192" t="s">
        <v>930</v>
      </c>
      <c r="G166" s="192" t="s">
        <v>929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57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1"/>
      <c r="AC166" s="557" t="str">
        <f>IF(VLOOKUP(F166,NXT!$C$35:$C$411,1,0)=F166,"","x")</f>
        <v/>
      </c>
      <c r="AE166" s="211"/>
      <c r="AF166" s="211"/>
      <c r="AG166" s="211"/>
    </row>
    <row r="167" spans="1:33" s="557" customFormat="1" ht="15.75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1129</v>
      </c>
      <c r="E167" s="191">
        <v>42388</v>
      </c>
      <c r="F167" s="192" t="s">
        <v>931</v>
      </c>
      <c r="G167" s="192" t="s">
        <v>929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57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1"/>
      <c r="AC167" s="557" t="str">
        <f>IF(VLOOKUP(F167,NXT!$C$35:$C$411,1,0)=F167,"","x")</f>
        <v/>
      </c>
      <c r="AE167" s="211"/>
      <c r="AF167" s="211"/>
      <c r="AG167" s="211"/>
    </row>
    <row r="168" spans="1:33" s="557" customFormat="1" ht="15.75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1129</v>
      </c>
      <c r="E168" s="191">
        <v>42388</v>
      </c>
      <c r="F168" s="192" t="s">
        <v>510</v>
      </c>
      <c r="G168" s="192" t="s">
        <v>929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57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1"/>
      <c r="AC168" s="557" t="str">
        <f>IF(VLOOKUP(F168,NXT!$C$35:$C$411,1,0)=F168,"","x")</f>
        <v/>
      </c>
      <c r="AE168" s="211"/>
      <c r="AF168" s="211"/>
      <c r="AG168" s="211"/>
    </row>
    <row r="169" spans="1:33" s="557" customFormat="1" ht="15.75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1129</v>
      </c>
      <c r="E169" s="191">
        <v>42388</v>
      </c>
      <c r="F169" s="192" t="s">
        <v>932</v>
      </c>
      <c r="G169" s="192" t="s">
        <v>929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57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1"/>
      <c r="AC169" s="557" t="str">
        <f>IF(VLOOKUP(F169,NXT!$C$35:$C$411,1,0)=F169,"","x")</f>
        <v/>
      </c>
      <c r="AE169" s="211"/>
      <c r="AF169" s="211"/>
      <c r="AG169" s="211"/>
    </row>
    <row r="170" spans="1:33" s="557" customFormat="1" ht="15.75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1129</v>
      </c>
      <c r="E170" s="191">
        <v>42388</v>
      </c>
      <c r="F170" s="192" t="s">
        <v>511</v>
      </c>
      <c r="G170" s="192" t="s">
        <v>929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57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1"/>
      <c r="AC170" s="557" t="str">
        <f>IF(VLOOKUP(F170,NXT!$C$35:$C$411,1,0)=F170,"","x")</f>
        <v/>
      </c>
      <c r="AE170" s="211"/>
      <c r="AF170" s="211"/>
      <c r="AG170" s="211"/>
    </row>
    <row r="171" spans="1:33" s="557" customFormat="1" ht="15.75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1129</v>
      </c>
      <c r="E171" s="191">
        <v>42388</v>
      </c>
      <c r="F171" s="192" t="s">
        <v>933</v>
      </c>
      <c r="G171" s="192" t="s">
        <v>929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57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1"/>
      <c r="AC171" s="557" t="str">
        <f>IF(VLOOKUP(F171,NXT!$C$35:$C$411,1,0)=F171,"","x")</f>
        <v/>
      </c>
      <c r="AE171" s="211"/>
      <c r="AF171" s="211"/>
      <c r="AG171" s="211"/>
    </row>
    <row r="172" spans="1:33" s="557" customFormat="1" ht="15.75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1129</v>
      </c>
      <c r="E172" s="191">
        <v>42388</v>
      </c>
      <c r="F172" s="192" t="s">
        <v>503</v>
      </c>
      <c r="G172" s="192" t="s">
        <v>929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57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1"/>
      <c r="AC172" s="557" t="str">
        <f>IF(VLOOKUP(F172,NXT!$C$35:$C$411,1,0)=F172,"","x")</f>
        <v/>
      </c>
      <c r="AD172" s="211"/>
      <c r="AE172" s="211"/>
      <c r="AF172" s="211"/>
      <c r="AG172" s="211"/>
    </row>
    <row r="173" spans="1:33" s="557" customFormat="1" ht="15.75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1129</v>
      </c>
      <c r="E173" s="191">
        <v>42388</v>
      </c>
      <c r="F173" s="192" t="s">
        <v>423</v>
      </c>
      <c r="G173" s="192" t="s">
        <v>929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57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1"/>
      <c r="AC173" s="557" t="str">
        <f>IF(VLOOKUP(H173,DS_131,1,0)=H173,"","x")</f>
        <v/>
      </c>
      <c r="AF173" s="211"/>
      <c r="AG173" s="211"/>
    </row>
    <row r="174" spans="1:33" s="557" customFormat="1" ht="15.75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1130</v>
      </c>
      <c r="E174" s="191">
        <v>42388</v>
      </c>
      <c r="F174" s="192" t="s">
        <v>1466</v>
      </c>
      <c r="G174" s="192" t="s">
        <v>934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57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1"/>
      <c r="AC174" s="557" t="str">
        <f>IF(VLOOKUP(F174,NXT!$C$35:$C$411,1,0)=F174,"","x")</f>
        <v/>
      </c>
      <c r="AF174" s="211"/>
      <c r="AG174" s="211"/>
    </row>
    <row r="175" spans="1:33" s="211" customFormat="1" ht="15.75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1130</v>
      </c>
      <c r="E175" s="191">
        <v>42388</v>
      </c>
      <c r="F175" s="192" t="s">
        <v>423</v>
      </c>
      <c r="G175" s="192" t="s">
        <v>934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57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1"/>
      <c r="AC175" s="557" t="str">
        <f>IF(VLOOKUP(H175,DS_131,1,0)=H175,"","x")</f>
        <v/>
      </c>
    </row>
    <row r="176" spans="1:33" s="211" customFormat="1" ht="15.75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1131</v>
      </c>
      <c r="E176" s="191">
        <v>42388</v>
      </c>
      <c r="F176" s="192" t="s">
        <v>901</v>
      </c>
      <c r="G176" s="192" t="s">
        <v>935</v>
      </c>
      <c r="H176" s="193" t="s">
        <v>1314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57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1"/>
      <c r="AC176" s="557" t="str">
        <f>IF(VLOOKUP(F176,NXT!$C$35:$C$411,1,0)=F176,"","x")</f>
        <v/>
      </c>
      <c r="AD176" s="557"/>
    </row>
    <row r="177" spans="1:33" s="211" customFormat="1" ht="15.75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1131</v>
      </c>
      <c r="E177" s="191">
        <v>42388</v>
      </c>
      <c r="F177" s="192" t="s">
        <v>423</v>
      </c>
      <c r="G177" s="192" t="s">
        <v>935</v>
      </c>
      <c r="H177" s="192" t="s">
        <v>936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57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1"/>
      <c r="AC177" s="557" t="str">
        <f>IF(VLOOKUP(H177,DS_131,1,0)=H177,"","x")</f>
        <v/>
      </c>
      <c r="AD177" s="557"/>
    </row>
    <row r="178" spans="1:33" s="211" customFormat="1" ht="15.75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66" t="s">
        <v>24</v>
      </c>
      <c r="N178" s="52" t="str">
        <f>IF(AND('331-CT'!$E$7=TH!H178,OR(L178="331",M178="331")),"331",IF(AND(OR(L178="131",M178="131"),H178='131-CT'!$E$7),"131",""))</f>
        <v/>
      </c>
      <c r="O178" s="857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1"/>
      <c r="AC178" s="557"/>
      <c r="AD178" s="557"/>
      <c r="AE178" s="557"/>
      <c r="AF178" s="557"/>
      <c r="AG178" s="557"/>
    </row>
    <row r="179" spans="1:33" s="557" customFormat="1" ht="15.75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66" t="s">
        <v>24</v>
      </c>
      <c r="N179" s="52" t="str">
        <f>IF(AND('331-CT'!$E$7=TH!H179,OR(L179="331",M179="331")),"331",IF(AND(OR(L179="131",M179="131"),H179='131-CT'!$E$7),"131",""))</f>
        <v/>
      </c>
      <c r="O179" s="857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1"/>
    </row>
    <row r="180" spans="1:33" s="557" customFormat="1" ht="15.75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1132</v>
      </c>
      <c r="E180" s="191">
        <v>42389</v>
      </c>
      <c r="F180" s="192" t="s">
        <v>657</v>
      </c>
      <c r="G180" s="192" t="s">
        <v>937</v>
      </c>
      <c r="H180" s="750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57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1"/>
      <c r="AC180" s="557" t="str">
        <f>IF(VLOOKUP(F180,NXT!$C$35:$C$411,1,0)=F180,"","x")</f>
        <v/>
      </c>
      <c r="AE180" s="211"/>
      <c r="AF180" s="211"/>
      <c r="AG180" s="211"/>
    </row>
    <row r="181" spans="1:33" s="557" customFormat="1" ht="15.75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1132</v>
      </c>
      <c r="E181" s="191">
        <v>42389</v>
      </c>
      <c r="F181" s="192" t="s">
        <v>1474</v>
      </c>
      <c r="G181" s="456" t="s">
        <v>937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57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1"/>
      <c r="AC181" s="557" t="str">
        <f>IF(VLOOKUP(F181,NXT!$C$35:$C$411,1,0)=F181,"","x")</f>
        <v/>
      </c>
      <c r="AE181" s="211"/>
      <c r="AF181" s="211"/>
      <c r="AG181" s="211"/>
    </row>
    <row r="182" spans="1:33" s="557" customFormat="1" ht="15.75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1132</v>
      </c>
      <c r="E182" s="191">
        <v>42389</v>
      </c>
      <c r="F182" s="192" t="s">
        <v>1474</v>
      </c>
      <c r="G182" s="192" t="s">
        <v>937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57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1"/>
      <c r="AC182" s="557" t="str">
        <f>IF(VLOOKUP(F182,NXT!$C$35:$C$411,1,0)=F182,"","x")</f>
        <v/>
      </c>
      <c r="AD182" s="211"/>
      <c r="AE182" s="211"/>
      <c r="AF182" s="211"/>
      <c r="AG182" s="211"/>
    </row>
    <row r="183" spans="1:33" s="557" customFormat="1" ht="15.75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1132</v>
      </c>
      <c r="E183" s="191">
        <v>42389</v>
      </c>
      <c r="F183" s="192" t="s">
        <v>1474</v>
      </c>
      <c r="G183" s="456" t="s">
        <v>937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57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1"/>
      <c r="AC183" s="557" t="str">
        <f>IF(VLOOKUP(F183,NXT!$C$35:$C$411,1,0)=F183,"","x")</f>
        <v/>
      </c>
      <c r="AE183" s="211"/>
      <c r="AF183" s="211"/>
      <c r="AG183" s="211"/>
    </row>
    <row r="184" spans="1:33" s="557" customFormat="1" ht="15.75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1132</v>
      </c>
      <c r="E184" s="191">
        <v>42389</v>
      </c>
      <c r="F184" s="192" t="s">
        <v>423</v>
      </c>
      <c r="G184" s="192" t="s">
        <v>937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57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1"/>
      <c r="AC184" s="557" t="str">
        <f>IF(VLOOKUP(H184,DS_131,1,0)=H184,"","x")</f>
        <v/>
      </c>
      <c r="AE184" s="211"/>
      <c r="AF184" s="211"/>
      <c r="AG184" s="211"/>
    </row>
    <row r="185" spans="1:33" s="557" customFormat="1" ht="15.75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1133</v>
      </c>
      <c r="E185" s="191">
        <v>42389</v>
      </c>
      <c r="F185" s="189" t="s">
        <v>1340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57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1"/>
      <c r="AC185" s="557" t="str">
        <f>IF(VLOOKUP(F185,NXT!$C$35:$C$411,1,0)=F185,"","x")</f>
        <v/>
      </c>
      <c r="AE185" s="211"/>
      <c r="AF185" s="211"/>
      <c r="AG185" s="211"/>
    </row>
    <row r="186" spans="1:33" s="557" customFormat="1" ht="15.75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1133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57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1"/>
      <c r="AC186" s="557" t="str">
        <f>IF(VLOOKUP(H186,DS_131,1,0)=H186,"","x")</f>
        <v/>
      </c>
      <c r="AF186" s="211"/>
      <c r="AG186" s="211"/>
    </row>
    <row r="187" spans="1:33" s="557" customFormat="1" ht="15.75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65">
        <v>26925800</v>
      </c>
      <c r="L187" s="566" t="s">
        <v>24</v>
      </c>
      <c r="M187" s="566" t="s">
        <v>259</v>
      </c>
      <c r="N187" s="52" t="str">
        <f>IF(AND('331-CT'!$E$7=TH!H187,OR(L187="331",M187="331")),"331",IF(AND(OR(L187="131",M187="131"),H187='131-CT'!$E$7),"131",""))</f>
        <v/>
      </c>
      <c r="O187" s="857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1"/>
      <c r="AC187" s="557" t="str">
        <f>IF(VLOOKUP(H187,DS_131,1,0)=H187,"","x")</f>
        <v/>
      </c>
    </row>
    <row r="188" spans="1:33" s="557" customFormat="1" ht="15.75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1134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57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1"/>
      <c r="AC188" s="557" t="str">
        <f>IF(VLOOKUP(F188,NXT!$C$35:$C$411,1,0)=F188,"","x")</f>
        <v/>
      </c>
      <c r="AF188" s="211"/>
      <c r="AG188" s="211"/>
    </row>
    <row r="189" spans="1:33" s="557" customFormat="1" ht="15.75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1134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57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1"/>
      <c r="AC189" s="557" t="str">
        <f>IF(VLOOKUP(H189,DS_131,1,0)=H189,"","x")</f>
        <v/>
      </c>
      <c r="AF189" s="211"/>
      <c r="AG189" s="211"/>
    </row>
    <row r="190" spans="1:33" s="557" customFormat="1" ht="15.75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67" t="s">
        <v>795</v>
      </c>
      <c r="H190" s="193"/>
      <c r="I190" s="256"/>
      <c r="J190" s="256"/>
      <c r="K190" s="565">
        <v>30704000</v>
      </c>
      <c r="L190" s="566" t="s">
        <v>24</v>
      </c>
      <c r="M190" s="566" t="s">
        <v>24</v>
      </c>
      <c r="N190" s="52" t="str">
        <f>IF(AND('331-CT'!$E$7=TH!H190,OR(L190="331",M190="331")),"331",IF(AND(OR(L190="131",M190="131"),H190='131-CT'!$E$7),"131",""))</f>
        <v/>
      </c>
      <c r="O190" s="857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1"/>
    </row>
    <row r="191" spans="1:33" s="557" customFormat="1" ht="15.75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65">
        <v>16500000</v>
      </c>
      <c r="L191" s="566" t="s">
        <v>786</v>
      </c>
      <c r="M191" s="566" t="s">
        <v>24</v>
      </c>
      <c r="N191" s="52" t="str">
        <f>IF(AND('331-CT'!$E$7=TH!H191,OR(L191="331",M191="331")),"331",IF(AND(OR(L191="131",M191="131"),H191='131-CT'!$E$7),"131",""))</f>
        <v/>
      </c>
      <c r="O191" s="857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1"/>
    </row>
    <row r="192" spans="1:33" s="557" customFormat="1" ht="15.75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65">
        <v>2436003</v>
      </c>
      <c r="L192" s="566" t="s">
        <v>81</v>
      </c>
      <c r="M192" s="566" t="s">
        <v>24</v>
      </c>
      <c r="N192" s="52" t="str">
        <f>IF(AND('331-CT'!$E$7=TH!H192,OR(L192="331",M192="331")),"331",IF(AND(OR(L192="131",M192="131"),H192='131-CT'!$E$7),"131",""))</f>
        <v/>
      </c>
      <c r="O192" s="857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1"/>
    </row>
    <row r="193" spans="1:33" s="557" customFormat="1" ht="15.75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65">
        <v>11866202</v>
      </c>
      <c r="L193" s="566" t="s">
        <v>81</v>
      </c>
      <c r="M193" s="566" t="s">
        <v>24</v>
      </c>
      <c r="N193" s="52" t="str">
        <f>IF(AND('331-CT'!$E$7=TH!H193,OR(L193="331",M193="331")),"331",IF(AND(OR(L193="131",M193="131"),H193='131-CT'!$E$7),"131",""))</f>
        <v/>
      </c>
      <c r="O193" s="857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1"/>
    </row>
    <row r="194" spans="1:33" s="557" customFormat="1" ht="15.75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65">
        <v>45691525</v>
      </c>
      <c r="L194" s="566" t="s">
        <v>24</v>
      </c>
      <c r="M194" s="566" t="s">
        <v>259</v>
      </c>
      <c r="N194" s="52" t="str">
        <f>IF(AND('331-CT'!$E$7=TH!H194,OR(L194="331",M194="331")),"331",IF(AND(OR(L194="131",M194="131"),H194='131-CT'!$E$7),"131",""))</f>
        <v/>
      </c>
      <c r="O194" s="857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1"/>
      <c r="AC194" s="557" t="str">
        <f>IF(VLOOKUP(H194,DS_131,1,0)=H194,"","x")</f>
        <v/>
      </c>
    </row>
    <row r="195" spans="1:33" s="211" customFormat="1" ht="15.75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66" t="s">
        <v>24</v>
      </c>
      <c r="N195" s="52" t="str">
        <f>IF(AND('331-CT'!$E$7=TH!H195,OR(L195="331",M195="331")),"331",IF(AND(OR(L195="131",M195="131"),H195='131-CT'!$E$7),"131",""))</f>
        <v/>
      </c>
      <c r="O195" s="857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1"/>
      <c r="AC195" s="557"/>
      <c r="AD195" s="557"/>
      <c r="AE195" s="557"/>
      <c r="AF195" s="557"/>
      <c r="AG195" s="557"/>
    </row>
    <row r="196" spans="1:33" s="211" customFormat="1" ht="15.75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66" t="s">
        <v>24</v>
      </c>
      <c r="N196" s="52" t="str">
        <f>IF(AND('331-CT'!$E$7=TH!H196,OR(L196="331",M196="331")),"331",IF(AND(OR(L196="131",M196="131"),H196='131-CT'!$E$7),"131",""))</f>
        <v/>
      </c>
      <c r="O196" s="857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1"/>
      <c r="AC196" s="557"/>
      <c r="AD196" s="557"/>
      <c r="AE196" s="557"/>
      <c r="AF196" s="557"/>
      <c r="AG196" s="557"/>
    </row>
    <row r="197" spans="1:33" s="211" customFormat="1" ht="15.75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57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1">
        <v>1</v>
      </c>
      <c r="AC197" s="557"/>
      <c r="AD197" s="557"/>
      <c r="AF197" s="557"/>
      <c r="AG197" s="557"/>
    </row>
    <row r="198" spans="1:33" s="211" customFormat="1" ht="15.75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57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1">
        <v>1</v>
      </c>
      <c r="AC198" s="557"/>
      <c r="AD198" s="557"/>
      <c r="AF198" s="557"/>
      <c r="AG198" s="557"/>
    </row>
    <row r="199" spans="1:33" s="211" customFormat="1" ht="15.75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1135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57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1"/>
      <c r="AC199" s="557" t="str">
        <f>IF(VLOOKUP(F199,NXT!$C$35:$C$411,1,0)=F199,"","x")</f>
        <v/>
      </c>
      <c r="AD199" s="557"/>
      <c r="AE199" s="557"/>
    </row>
    <row r="200" spans="1:33" s="211" customFormat="1" ht="15.75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1135</v>
      </c>
      <c r="E200" s="191">
        <v>42391</v>
      </c>
      <c r="F200" s="192" t="s">
        <v>938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57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1"/>
      <c r="AC200" s="557" t="str">
        <f>IF(VLOOKUP(F200,NXT!$C$35:$C$411,1,0)=F200,"","x")</f>
        <v/>
      </c>
      <c r="AD200" s="557"/>
      <c r="AE200" s="557"/>
    </row>
    <row r="201" spans="1:33" s="211" customFormat="1" ht="15.75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1135</v>
      </c>
      <c r="E201" s="191">
        <v>42391</v>
      </c>
      <c r="F201" s="192" t="s">
        <v>939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57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1"/>
      <c r="AC201" s="557" t="str">
        <f>IF(VLOOKUP(F201,NXT!$C$35:$C$411,1,0)=F201,"","x")</f>
        <v/>
      </c>
      <c r="AD201" s="557"/>
      <c r="AE201" s="557"/>
    </row>
    <row r="202" spans="1:33" s="211" customFormat="1" ht="15.75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1135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57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1"/>
      <c r="AC202" s="557" t="str">
        <f>IF(VLOOKUP(H202,DS_131,1,0)=H202,"","x")</f>
        <v/>
      </c>
      <c r="AD202" s="557"/>
      <c r="AE202" s="557"/>
    </row>
    <row r="203" spans="1:33" s="211" customFormat="1" ht="15.75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1136</v>
      </c>
      <c r="E203" s="191">
        <v>42391</v>
      </c>
      <c r="F203" s="192" t="s">
        <v>1252</v>
      </c>
      <c r="G203" s="192" t="s">
        <v>427</v>
      </c>
      <c r="H203" s="210" t="s">
        <v>1235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57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1"/>
      <c r="AC203" s="557" t="str">
        <f>IF(VLOOKUP(F203,NXT!$C$35:$C$411,1,0)=F203,"","x")</f>
        <v/>
      </c>
      <c r="AD203" s="557"/>
      <c r="AE203" s="557"/>
    </row>
    <row r="204" spans="1:33" s="211" customFormat="1" ht="15.75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1136</v>
      </c>
      <c r="E204" s="191">
        <v>42391</v>
      </c>
      <c r="F204" s="192" t="s">
        <v>1253</v>
      </c>
      <c r="G204" s="192" t="s">
        <v>427</v>
      </c>
      <c r="H204" s="210" t="s">
        <v>1235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57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1"/>
      <c r="AC204" s="557" t="str">
        <f>IF(VLOOKUP(F204,NXT!$C$35:$C$411,1,0)=F204,"","x")</f>
        <v/>
      </c>
      <c r="AD204" s="557"/>
      <c r="AE204" s="557"/>
    </row>
    <row r="205" spans="1:33" s="211" customFormat="1" ht="15.75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1136</v>
      </c>
      <c r="E205" s="191">
        <v>42391</v>
      </c>
      <c r="F205" s="192" t="s">
        <v>1238</v>
      </c>
      <c r="G205" s="192" t="s">
        <v>427</v>
      </c>
      <c r="H205" s="210" t="s">
        <v>1235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57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1"/>
      <c r="AC205" s="557" t="str">
        <f>IF(VLOOKUP(F205,NXT!$C$35:$C$411,1,0)=F205,"","x")</f>
        <v/>
      </c>
      <c r="AD205" s="557"/>
      <c r="AE205" s="557"/>
    </row>
    <row r="206" spans="1:33" s="211" customFormat="1" ht="15.75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1136</v>
      </c>
      <c r="E206" s="191">
        <v>42391</v>
      </c>
      <c r="F206" s="192" t="s">
        <v>741</v>
      </c>
      <c r="G206" s="192" t="s">
        <v>427</v>
      </c>
      <c r="H206" s="210" t="s">
        <v>1235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57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1"/>
      <c r="AC206" s="557" t="str">
        <f>IF(VLOOKUP(F206,NXT!$C$35:$C$411,1,0)=F206,"","x")</f>
        <v/>
      </c>
      <c r="AD206" s="557"/>
      <c r="AE206" s="557"/>
    </row>
    <row r="207" spans="1:33" s="211" customFormat="1" ht="15.75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1136</v>
      </c>
      <c r="E207" s="191">
        <v>42391</v>
      </c>
      <c r="F207" s="192" t="s">
        <v>1254</v>
      </c>
      <c r="G207" s="192" t="s">
        <v>427</v>
      </c>
      <c r="H207" s="210" t="s">
        <v>1235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57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1"/>
      <c r="AC207" s="557" t="str">
        <f>IF(VLOOKUP(F207,NXT!$C$35:$C$411,1,0)=F207,"","x")</f>
        <v/>
      </c>
      <c r="AD207" s="557"/>
      <c r="AE207" s="557"/>
    </row>
    <row r="208" spans="1:33" s="211" customFormat="1" ht="15.75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1136</v>
      </c>
      <c r="E208" s="191">
        <v>42391</v>
      </c>
      <c r="F208" s="192" t="s">
        <v>739</v>
      </c>
      <c r="G208" s="192" t="s">
        <v>427</v>
      </c>
      <c r="H208" s="210" t="s">
        <v>1235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57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1"/>
      <c r="AC208" s="557" t="str">
        <f>IF(VLOOKUP(F208,NXT!$C$35:$C$411,1,0)=F208,"","x")</f>
        <v/>
      </c>
      <c r="AD208" s="557"/>
      <c r="AE208" s="557"/>
    </row>
    <row r="209" spans="1:33" s="211" customFormat="1" ht="15.75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1136</v>
      </c>
      <c r="E209" s="191">
        <v>42391</v>
      </c>
      <c r="F209" s="192" t="s">
        <v>743</v>
      </c>
      <c r="G209" s="192" t="s">
        <v>427</v>
      </c>
      <c r="H209" s="210" t="s">
        <v>1235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57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1"/>
      <c r="AC209" s="557" t="str">
        <f>IF(VLOOKUP(F209,NXT!$C$35:$C$411,1,0)=F209,"","x")</f>
        <v/>
      </c>
      <c r="AD209" s="557"/>
      <c r="AE209" s="557"/>
    </row>
    <row r="210" spans="1:33" s="211" customFormat="1" ht="15.75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1136</v>
      </c>
      <c r="E210" s="191">
        <v>42391</v>
      </c>
      <c r="F210" s="192" t="s">
        <v>1255</v>
      </c>
      <c r="G210" s="456" t="s">
        <v>427</v>
      </c>
      <c r="H210" s="210" t="s">
        <v>1235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57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1"/>
      <c r="AC210" s="557" t="str">
        <f>IF(VLOOKUP(F210,NXT!$C$35:$C$411,1,0)=F210,"","x")</f>
        <v/>
      </c>
      <c r="AD210" s="557"/>
      <c r="AE210" s="557"/>
    </row>
    <row r="211" spans="1:33" s="211" customFormat="1" ht="15.75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1136</v>
      </c>
      <c r="E211" s="191">
        <v>42391</v>
      </c>
      <c r="F211" s="192" t="s">
        <v>742</v>
      </c>
      <c r="G211" s="192" t="s">
        <v>427</v>
      </c>
      <c r="H211" s="210" t="s">
        <v>1235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57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1"/>
      <c r="AC211" s="557" t="str">
        <f>IF(VLOOKUP(F211,NXT!$C$35:$C$411,1,0)=F211,"","x")</f>
        <v/>
      </c>
      <c r="AD211" s="557"/>
      <c r="AE211" s="557"/>
    </row>
    <row r="212" spans="1:33" s="211" customFormat="1" ht="15.75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1136</v>
      </c>
      <c r="E212" s="191">
        <v>42391</v>
      </c>
      <c r="F212" s="192" t="s">
        <v>1241</v>
      </c>
      <c r="G212" s="192" t="s">
        <v>427</v>
      </c>
      <c r="H212" s="210" t="s">
        <v>1235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57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1"/>
      <c r="AC212" s="557" t="str">
        <f>IF(VLOOKUP(F212,NXT!$C$35:$C$411,1,0)=F212,"","x")</f>
        <v/>
      </c>
      <c r="AD212" s="557"/>
      <c r="AE212" s="557"/>
    </row>
    <row r="213" spans="1:33" s="211" customFormat="1" ht="15.75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1136</v>
      </c>
      <c r="E213" s="191">
        <v>42391</v>
      </c>
      <c r="F213" s="192" t="s">
        <v>555</v>
      </c>
      <c r="G213" s="192" t="s">
        <v>427</v>
      </c>
      <c r="H213" s="210" t="s">
        <v>1235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57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1"/>
      <c r="AC213" s="557" t="str">
        <f>IF(VLOOKUP(H213,DS_131,1,0)=H213,"","x")</f>
        <v/>
      </c>
      <c r="AD213" s="557"/>
      <c r="AE213" s="557"/>
    </row>
    <row r="214" spans="1:33" s="211" customFormat="1" ht="15.75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65">
        <v>5230500</v>
      </c>
      <c r="L214" s="566" t="s">
        <v>24</v>
      </c>
      <c r="M214" s="566" t="s">
        <v>259</v>
      </c>
      <c r="N214" s="52" t="str">
        <f>IF(AND('331-CT'!$E$7=TH!H214,OR(L214="331",M214="331")),"331",IF(AND(OR(L214="131",M214="131"),H214='131-CT'!$E$7),"131",""))</f>
        <v/>
      </c>
      <c r="O214" s="857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1"/>
      <c r="AC214" s="557" t="str">
        <f>IF(VLOOKUP(H214,DS_131,1,0)=H214,"","x")</f>
        <v/>
      </c>
      <c r="AD214" s="557"/>
      <c r="AE214" s="557"/>
      <c r="AF214" s="557"/>
      <c r="AG214" s="557"/>
    </row>
    <row r="215" spans="1:33" s="211" customFormat="1" ht="15.75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65">
        <v>14181860</v>
      </c>
      <c r="L215" s="566" t="s">
        <v>24</v>
      </c>
      <c r="M215" s="566" t="s">
        <v>259</v>
      </c>
      <c r="N215" s="52" t="str">
        <f>IF(AND('331-CT'!$E$7=TH!H215,OR(L215="331",M215="331")),"331",IF(AND(OR(L215="131",M215="131"),H215='131-CT'!$E$7),"131",""))</f>
        <v/>
      </c>
      <c r="O215" s="857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1"/>
      <c r="AC215" s="557" t="str">
        <f>IF(VLOOKUP(H215,DS_131,1,0)=H215,"","x")</f>
        <v/>
      </c>
      <c r="AD215" s="557"/>
      <c r="AE215" s="557"/>
      <c r="AF215" s="557"/>
      <c r="AG215" s="557"/>
    </row>
    <row r="216" spans="1:33" s="211" customFormat="1" ht="15.75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65">
        <v>7149780</v>
      </c>
      <c r="L216" s="566" t="s">
        <v>24</v>
      </c>
      <c r="M216" s="566" t="s">
        <v>259</v>
      </c>
      <c r="N216" s="52" t="str">
        <f>IF(AND('331-CT'!$E$7=TH!H216,OR(L216="331",M216="331")),"331",IF(AND(OR(L216="131",M216="131"),H216='131-CT'!$E$7),"131",""))</f>
        <v/>
      </c>
      <c r="O216" s="857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1"/>
      <c r="AC216" s="557" t="str">
        <f>IF(VLOOKUP(H216,DS_131,1,0)=H216,"","x")</f>
        <v/>
      </c>
      <c r="AD216" s="557"/>
      <c r="AE216" s="557"/>
      <c r="AF216" s="557"/>
      <c r="AG216" s="557"/>
    </row>
    <row r="217" spans="1:33" s="211" customFormat="1" ht="15.75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65">
        <v>5798</v>
      </c>
      <c r="L217" s="566" t="s">
        <v>24</v>
      </c>
      <c r="M217" s="566" t="s">
        <v>40</v>
      </c>
      <c r="N217" s="52" t="str">
        <f>IF(AND('331-CT'!$E$7=TH!H217,OR(L217="331",M217="331")),"331",IF(AND(OR(L217="131",M217="131"),H217='131-CT'!$E$7),"131",""))</f>
        <v/>
      </c>
      <c r="O217" s="857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1"/>
      <c r="AC217" s="557"/>
      <c r="AD217" s="557"/>
      <c r="AE217" s="557"/>
      <c r="AF217" s="557"/>
      <c r="AG217" s="557"/>
    </row>
    <row r="218" spans="1:33" s="211" customFormat="1" ht="15.75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1137</v>
      </c>
      <c r="E218" s="191">
        <v>42394</v>
      </c>
      <c r="F218" s="189" t="s">
        <v>1340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57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1"/>
      <c r="AC218" s="557" t="str">
        <f>IF(VLOOKUP(F218,NXT!$C$35:$C$411,1,0)=F218,"","x")</f>
        <v/>
      </c>
      <c r="AD218" s="557"/>
      <c r="AE218" s="557"/>
    </row>
    <row r="219" spans="1:33" s="211" customFormat="1" ht="15.75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1137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57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1"/>
      <c r="AC219" s="557" t="str">
        <f>IF(VLOOKUP(H219,DS_131,1,0)=H219,"","x")</f>
        <v/>
      </c>
      <c r="AD219" s="557"/>
      <c r="AE219" s="557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66" t="s">
        <v>24</v>
      </c>
      <c r="N220" s="52" t="str">
        <f>IF(AND('331-CT'!$E$7=TH!H220,OR(L220="331",M220="331")),"331",IF(AND(OR(L220="131",M220="131"),H220='131-CT'!$E$7),"131",""))</f>
        <v/>
      </c>
      <c r="O220" s="857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1"/>
      <c r="AC220" s="557"/>
      <c r="AD220" s="557"/>
      <c r="AF220" s="557"/>
      <c r="AG220" s="557"/>
    </row>
    <row r="221" spans="1:33" s="211" customFormat="1" ht="15.75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66" t="s">
        <v>24</v>
      </c>
      <c r="N221" s="52" t="str">
        <f>IF(AND('331-CT'!$E$7=TH!H221,OR(L221="331",M221="331")),"331",IF(AND(OR(L221="131",M221="131"),H221='131-CT'!$E$7),"131",""))</f>
        <v/>
      </c>
      <c r="O221" s="857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1"/>
      <c r="AC221" s="557"/>
      <c r="AD221" s="557"/>
      <c r="AF221" s="557"/>
      <c r="AG221" s="557"/>
    </row>
    <row r="222" spans="1:33" s="211" customFormat="1" ht="15.75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1138</v>
      </c>
      <c r="E222" s="191">
        <v>42395</v>
      </c>
      <c r="F222" s="192" t="s">
        <v>1466</v>
      </c>
      <c r="G222" s="192" t="s">
        <v>940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57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1"/>
      <c r="AC222" s="557" t="str">
        <f>IF(VLOOKUP(F222,NXT!$C$35:$C$411,1,0)=F222,"","x")</f>
        <v/>
      </c>
      <c r="AD222" s="557"/>
      <c r="AE222" s="557"/>
    </row>
    <row r="223" spans="1:33" s="211" customFormat="1" ht="15.75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1138</v>
      </c>
      <c r="E223" s="191">
        <v>42395</v>
      </c>
      <c r="F223" s="189" t="s">
        <v>1337</v>
      </c>
      <c r="G223" s="192" t="s">
        <v>940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57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1"/>
      <c r="AC223" s="557" t="str">
        <f>IF(VLOOKUP(F223,NXT!$C$35:$C$411,1,0)=F223,"","x")</f>
        <v/>
      </c>
      <c r="AD223" s="557"/>
      <c r="AE223" s="557"/>
    </row>
    <row r="224" spans="1:33" s="211" customFormat="1" ht="15.75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1138</v>
      </c>
      <c r="E224" s="191">
        <v>42395</v>
      </c>
      <c r="F224" s="192" t="s">
        <v>423</v>
      </c>
      <c r="G224" s="192" t="s">
        <v>940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57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1"/>
      <c r="AC224" s="557" t="str">
        <f>IF(VLOOKUP(H224,DS_131,1,0)=H224,"","x")</f>
        <v/>
      </c>
      <c r="AD224" s="557"/>
      <c r="AE224" s="557"/>
    </row>
    <row r="225" spans="1:31" s="211" customFormat="1" ht="15.75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1139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57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1"/>
      <c r="AC225" s="557" t="str">
        <f>IF(VLOOKUP(F225,NXT!$C$35:$C$411,1,0)=F225,"","x")</f>
        <v/>
      </c>
      <c r="AD225" s="557"/>
    </row>
    <row r="226" spans="1:31" s="211" customFormat="1" ht="15.75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1139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57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1"/>
      <c r="AC226" s="557" t="str">
        <f>IF(VLOOKUP(F226,NXT!$C$35:$C$411,1,0)=F226,"","x")</f>
        <v/>
      </c>
      <c r="AD226" s="557"/>
    </row>
    <row r="227" spans="1:31" s="211" customFormat="1" ht="15.75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1139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57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1"/>
      <c r="AC227" s="557" t="str">
        <f>IF(VLOOKUP(F227,NXT!$C$35:$C$411,1,0)=F227,"","x")</f>
        <v/>
      </c>
    </row>
    <row r="228" spans="1:31" s="211" customFormat="1" ht="15.75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1139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57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1"/>
      <c r="AC228" s="557" t="str">
        <f>IF(VLOOKUP(H228,DS_131,1,0)=H228,"","x")</f>
        <v/>
      </c>
      <c r="AD228" s="557"/>
    </row>
    <row r="229" spans="1:31" s="211" customFormat="1" ht="15.75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1140</v>
      </c>
      <c r="E229" s="191">
        <v>42395</v>
      </c>
      <c r="F229" s="192" t="s">
        <v>1264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57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1"/>
      <c r="AC229" s="557" t="str">
        <f>IF(VLOOKUP(F229,NXT!$C$35:$C$411,1,0)=F229,"","x")</f>
        <v/>
      </c>
    </row>
    <row r="230" spans="1:31" s="211" customFormat="1" ht="15.75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1140</v>
      </c>
      <c r="E230" s="191">
        <v>42395</v>
      </c>
      <c r="F230" s="192" t="s">
        <v>1265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57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1"/>
      <c r="AC230" s="557" t="str">
        <f>IF(VLOOKUP(F230,NXT!$C$35:$C$411,1,0)=F230,"","x")</f>
        <v/>
      </c>
      <c r="AD230" s="557"/>
    </row>
    <row r="231" spans="1:31" s="211" customFormat="1" ht="15.75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1140</v>
      </c>
      <c r="E231" s="191">
        <v>42395</v>
      </c>
      <c r="F231" s="192" t="s">
        <v>1266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57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1"/>
      <c r="AC231" s="557" t="str">
        <f>IF(VLOOKUP(F231,NXT!$C$35:$C$411,1,0)=F231,"","x")</f>
        <v/>
      </c>
    </row>
    <row r="232" spans="1:31" s="211" customFormat="1" ht="15.75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1140</v>
      </c>
      <c r="E232" s="191">
        <v>42395</v>
      </c>
      <c r="F232" s="192" t="s">
        <v>1267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57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1"/>
      <c r="AC232" s="557" t="str">
        <f>IF(VLOOKUP(F232,NXT!$C$35:$C$411,1,0)=F232,"","x")</f>
        <v/>
      </c>
      <c r="AD232" s="557"/>
    </row>
    <row r="233" spans="1:31" s="211" customFormat="1" ht="15.75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1140</v>
      </c>
      <c r="E233" s="191">
        <v>42395</v>
      </c>
      <c r="F233" s="192" t="s">
        <v>1268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57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1"/>
      <c r="AC233" s="557" t="str">
        <f>IF(VLOOKUP(F233,NXT!$C$35:$C$411,1,0)=F233,"","x")</f>
        <v/>
      </c>
      <c r="AE233" s="557"/>
    </row>
    <row r="234" spans="1:31" s="211" customFormat="1" ht="15.75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1140</v>
      </c>
      <c r="E234" s="191">
        <v>42395</v>
      </c>
      <c r="F234" s="192" t="s">
        <v>1269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57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1"/>
      <c r="AC234" s="557" t="str">
        <f>IF(VLOOKUP(F234,NXT!$C$35:$C$411,1,0)=F234,"","x")</f>
        <v/>
      </c>
      <c r="AD234" s="557"/>
      <c r="AE234" s="557"/>
    </row>
    <row r="235" spans="1:31" s="211" customFormat="1" ht="15.75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1140</v>
      </c>
      <c r="E235" s="191">
        <v>42395</v>
      </c>
      <c r="F235" s="192" t="s">
        <v>1270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57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1"/>
      <c r="AC235" s="557" t="str">
        <f>IF(VLOOKUP(F235,NXT!$C$35:$C$411,1,0)=F235,"","x")</f>
        <v/>
      </c>
      <c r="AD235" s="557"/>
      <c r="AE235" s="557"/>
    </row>
    <row r="236" spans="1:31" s="211" customFormat="1" ht="15.75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1140</v>
      </c>
      <c r="E236" s="191">
        <v>42395</v>
      </c>
      <c r="F236" s="192" t="s">
        <v>1271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57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1"/>
      <c r="AC236" s="557" t="str">
        <f>IF(VLOOKUP(F236,NXT!$C$35:$C$411,1,0)=F236,"","x")</f>
        <v/>
      </c>
      <c r="AD236" s="557"/>
      <c r="AE236" s="557"/>
    </row>
    <row r="237" spans="1:31" s="211" customFormat="1" ht="15.75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1140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57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1"/>
      <c r="AC237" s="557" t="str">
        <f>IF(VLOOKUP(H237,DS_131,1,0)=H237,"","x")</f>
        <v/>
      </c>
      <c r="AD237" s="557"/>
      <c r="AE237" s="557"/>
    </row>
    <row r="238" spans="1:31" s="211" customFormat="1" ht="15.75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1141</v>
      </c>
      <c r="E238" s="191">
        <v>42395</v>
      </c>
      <c r="F238" s="192" t="s">
        <v>738</v>
      </c>
      <c r="G238" s="456" t="s">
        <v>433</v>
      </c>
      <c r="H238" s="210" t="s">
        <v>1235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57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1"/>
      <c r="AC238" s="557" t="str">
        <f>IF(VLOOKUP(F238,NXT!$C$35:$C$411,1,0)=F238,"","x")</f>
        <v/>
      </c>
      <c r="AD238" s="557"/>
      <c r="AE238" s="557"/>
    </row>
    <row r="239" spans="1:31" s="211" customFormat="1" ht="15.75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1141</v>
      </c>
      <c r="E239" s="191">
        <v>42395</v>
      </c>
      <c r="F239" s="192" t="s">
        <v>1256</v>
      </c>
      <c r="G239" s="192" t="s">
        <v>433</v>
      </c>
      <c r="H239" s="210" t="s">
        <v>1235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57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1"/>
      <c r="AC239" s="557" t="str">
        <f>IF(VLOOKUP(F239,NXT!$C$35:$C$411,1,0)=F239,"","x")</f>
        <v/>
      </c>
      <c r="AD239" s="557"/>
      <c r="AE239" s="557"/>
    </row>
    <row r="240" spans="1:31" s="211" customFormat="1" ht="15.75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1141</v>
      </c>
      <c r="E240" s="191">
        <v>42395</v>
      </c>
      <c r="F240" s="192" t="s">
        <v>1257</v>
      </c>
      <c r="G240" s="456" t="s">
        <v>433</v>
      </c>
      <c r="H240" s="210" t="s">
        <v>1235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57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1"/>
      <c r="AC240" s="557" t="str">
        <f>IF(VLOOKUP(F240,NXT!$C$35:$C$411,1,0)=F240,"","x")</f>
        <v/>
      </c>
      <c r="AD240" s="557"/>
      <c r="AE240" s="557"/>
    </row>
    <row r="241" spans="1:33" s="211" customFormat="1" ht="15.75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1141</v>
      </c>
      <c r="E241" s="191">
        <v>42395</v>
      </c>
      <c r="F241" s="192" t="s">
        <v>730</v>
      </c>
      <c r="G241" s="192" t="s">
        <v>433</v>
      </c>
      <c r="H241" s="210" t="s">
        <v>1235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57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1"/>
      <c r="AC241" s="557" t="str">
        <f>IF(VLOOKUP(F241,NXT!$C$35:$C$411,1,0)=F241,"","x")</f>
        <v/>
      </c>
      <c r="AD241" s="557"/>
      <c r="AE241" s="557"/>
    </row>
    <row r="242" spans="1:33" s="211" customFormat="1" ht="15.75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1141</v>
      </c>
      <c r="E242" s="191">
        <v>42395</v>
      </c>
      <c r="F242" s="192" t="s">
        <v>731</v>
      </c>
      <c r="G242" s="456" t="s">
        <v>433</v>
      </c>
      <c r="H242" s="210" t="s">
        <v>1235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57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1"/>
      <c r="AC242" s="557" t="str">
        <f>IF(VLOOKUP(F242,NXT!$C$35:$C$411,1,0)=F242,"","x")</f>
        <v/>
      </c>
      <c r="AD242" s="557"/>
      <c r="AE242" s="557"/>
    </row>
    <row r="243" spans="1:33" s="211" customFormat="1" ht="15.75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1141</v>
      </c>
      <c r="E243" s="191">
        <v>42395</v>
      </c>
      <c r="F243" s="192" t="s">
        <v>732</v>
      </c>
      <c r="G243" s="192" t="s">
        <v>433</v>
      </c>
      <c r="H243" s="210" t="s">
        <v>1235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57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1"/>
      <c r="AC243" s="557" t="str">
        <f>IF(VLOOKUP(F243,NXT!$C$35:$C$411,1,0)=F243,"","x")</f>
        <v/>
      </c>
      <c r="AD243" s="557"/>
    </row>
    <row r="244" spans="1:33" s="211" customFormat="1" ht="15.75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1141</v>
      </c>
      <c r="E244" s="191">
        <v>42395</v>
      </c>
      <c r="F244" s="192" t="s">
        <v>733</v>
      </c>
      <c r="G244" s="456" t="s">
        <v>433</v>
      </c>
      <c r="H244" s="210" t="s">
        <v>1235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57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1"/>
      <c r="AC244" s="557" t="str">
        <f>IF(VLOOKUP(F244,NXT!$C$35:$C$411,1,0)=F244,"","x")</f>
        <v/>
      </c>
      <c r="AD244" s="557"/>
      <c r="AE244" s="557"/>
    </row>
    <row r="245" spans="1:33" s="211" customFormat="1" ht="15.75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1141</v>
      </c>
      <c r="E245" s="191">
        <v>42395</v>
      </c>
      <c r="F245" s="192" t="s">
        <v>1258</v>
      </c>
      <c r="G245" s="192" t="s">
        <v>433</v>
      </c>
      <c r="H245" s="210" t="s">
        <v>1235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57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1"/>
      <c r="AC245" s="557" t="str">
        <f>IF(VLOOKUP(F245,NXT!$C$35:$C$411,1,0)=F245,"","x")</f>
        <v/>
      </c>
      <c r="AD245" s="557"/>
      <c r="AE245" s="557"/>
    </row>
    <row r="246" spans="1:33" s="211" customFormat="1" ht="15.75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1141</v>
      </c>
      <c r="E246" s="191">
        <v>42395</v>
      </c>
      <c r="F246" s="192" t="s">
        <v>1259</v>
      </c>
      <c r="G246" s="192" t="s">
        <v>433</v>
      </c>
      <c r="H246" s="210" t="s">
        <v>1235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57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1"/>
      <c r="AC246" s="557" t="str">
        <f>IF(VLOOKUP(F246,NXT!$C$35:$C$411,1,0)=F246,"","x")</f>
        <v/>
      </c>
      <c r="AD246" s="557"/>
      <c r="AE246" s="557"/>
    </row>
    <row r="247" spans="1:33" s="211" customFormat="1" ht="15.75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1141</v>
      </c>
      <c r="E247" s="191">
        <v>42395</v>
      </c>
      <c r="F247" s="192" t="s">
        <v>555</v>
      </c>
      <c r="G247" s="192" t="s">
        <v>433</v>
      </c>
      <c r="H247" s="210" t="s">
        <v>1235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57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1"/>
      <c r="AC247" s="557" t="str">
        <f>IF(VLOOKUP(H247,DS_131,1,0)=H247,"","x")</f>
        <v/>
      </c>
      <c r="AD247" s="557"/>
      <c r="AE247" s="557"/>
    </row>
    <row r="248" spans="1:33" s="211" customFormat="1" ht="15.75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65">
        <v>19000000</v>
      </c>
      <c r="L248" s="566" t="s">
        <v>24</v>
      </c>
      <c r="M248" s="566" t="s">
        <v>47</v>
      </c>
      <c r="N248" s="52" t="str">
        <f>IF(AND('331-CT'!$E$7=TH!H248,OR(L248="331",M248="331")),"331",IF(AND(OR(L248="131",M248="131"),H248='131-CT'!$E$7),"131",""))</f>
        <v/>
      </c>
      <c r="O248" s="857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1"/>
      <c r="AC248" s="557"/>
      <c r="AD248" s="557"/>
      <c r="AE248" s="557"/>
      <c r="AF248" s="557"/>
      <c r="AG248" s="557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66" t="s">
        <v>24</v>
      </c>
      <c r="N249" s="52" t="str">
        <f>IF(AND('331-CT'!$E$7=TH!H249,OR(L249="331",M249="331")),"331",IF(AND(OR(L249="131",M249="131"),H249='131-CT'!$E$7),"131",""))</f>
        <v/>
      </c>
      <c r="O249" s="857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1"/>
      <c r="AC249" s="557"/>
      <c r="AF249" s="557"/>
      <c r="AG249" s="557"/>
    </row>
    <row r="250" spans="1:33" s="211" customFormat="1" ht="15.75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66" t="s">
        <v>24</v>
      </c>
      <c r="N250" s="52" t="str">
        <f>IF(AND('331-CT'!$E$7=TH!H250,OR(L250="331",M250="331")),"331",IF(AND(OR(L250="131",M250="131"),H250='131-CT'!$E$7),"131",""))</f>
        <v/>
      </c>
      <c r="O250" s="857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1"/>
      <c r="AC250" s="557"/>
      <c r="AD250" s="557"/>
      <c r="AF250" s="557"/>
      <c r="AG250" s="557"/>
    </row>
    <row r="251" spans="1:33" s="211" customFormat="1" ht="15.75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66" t="s">
        <v>24</v>
      </c>
      <c r="N251" s="52" t="str">
        <f>IF(AND('331-CT'!$E$7=TH!H251,OR(L251="331",M251="331")),"331",IF(AND(OR(L251="131",M251="131"),H251='131-CT'!$E$7),"131",""))</f>
        <v/>
      </c>
      <c r="O251" s="857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1"/>
      <c r="AC251" s="557"/>
      <c r="AD251" s="557"/>
      <c r="AF251" s="557"/>
      <c r="AG251" s="557"/>
    </row>
    <row r="252" spans="1:33" s="211" customFormat="1" ht="15.75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1213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57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1">
        <v>1</v>
      </c>
      <c r="AC252" s="557"/>
      <c r="AD252" s="211" t="str">
        <f>IF(VLOOKUP(H252,DSKH,1,0)=H252,"","x")</f>
        <v/>
      </c>
      <c r="AF252" s="557"/>
      <c r="AG252" s="557"/>
    </row>
    <row r="253" spans="1:33" s="211" customFormat="1" ht="15.75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1213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57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1">
        <v>1</v>
      </c>
      <c r="AC253" s="557"/>
      <c r="AD253" s="211" t="str">
        <f>IF(VLOOKUP(H253,DSKH,1,0)=H253,"","x")</f>
        <v/>
      </c>
      <c r="AF253" s="557"/>
      <c r="AG253" s="557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65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57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1"/>
      <c r="AC254" s="557"/>
      <c r="AD254" s="557"/>
      <c r="AF254" s="557"/>
      <c r="AG254" s="557"/>
    </row>
    <row r="255" spans="1:33" s="211" customFormat="1" ht="15.75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65">
        <v>39905800</v>
      </c>
      <c r="L255" s="566" t="s">
        <v>24</v>
      </c>
      <c r="M255" s="566" t="s">
        <v>259</v>
      </c>
      <c r="N255" s="52" t="str">
        <f>IF(AND('331-CT'!$E$7=TH!H255,OR(L255="331",M255="331")),"331",IF(AND(OR(L255="131",M255="131"),H255='131-CT'!$E$7),"131",""))</f>
        <v/>
      </c>
      <c r="O255" s="857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1"/>
      <c r="AC255" s="557" t="str">
        <f>IF(VLOOKUP(H255,DS_131,1,0)=H255,"","x")</f>
        <v/>
      </c>
      <c r="AD255" s="557"/>
      <c r="AE255" s="557"/>
      <c r="AF255" s="557"/>
      <c r="AG255" s="557"/>
    </row>
    <row r="256" spans="1:33" s="211" customFormat="1" ht="15.75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1142</v>
      </c>
      <c r="E256" s="191">
        <v>42397</v>
      </c>
      <c r="F256" s="192" t="s">
        <v>740</v>
      </c>
      <c r="G256" s="192" t="s">
        <v>435</v>
      </c>
      <c r="H256" s="210" t="s">
        <v>1235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57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1"/>
      <c r="AC256" s="557" t="str">
        <f>IF(VLOOKUP(F256,NXT!$C$35:$C$411,1,0)=F256,"","x")</f>
        <v/>
      </c>
      <c r="AD256" s="557"/>
    </row>
    <row r="257" spans="1:31" s="211" customFormat="1" ht="15.75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1142</v>
      </c>
      <c r="E257" s="191">
        <v>42397</v>
      </c>
      <c r="F257" s="192" t="s">
        <v>563</v>
      </c>
      <c r="G257" s="192" t="s">
        <v>435</v>
      </c>
      <c r="H257" s="210" t="s">
        <v>1235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57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1"/>
      <c r="AC257" s="557" t="str">
        <f>IF(VLOOKUP(F257,NXT!$C$35:$C$411,1,0)=F257,"","x")</f>
        <v/>
      </c>
      <c r="AD257" s="557"/>
    </row>
    <row r="258" spans="1:31" s="211" customFormat="1" ht="15.75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1142</v>
      </c>
      <c r="E258" s="739">
        <v>42397</v>
      </c>
      <c r="F258" s="192" t="s">
        <v>561</v>
      </c>
      <c r="G258" s="192" t="s">
        <v>435</v>
      </c>
      <c r="H258" s="210" t="s">
        <v>1235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57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1"/>
      <c r="AC258" s="557" t="str">
        <f>IF(VLOOKUP(F258,NXT!$C$35:$C$411,1,0)=F258,"","x")</f>
        <v/>
      </c>
      <c r="AD258" s="557"/>
    </row>
    <row r="259" spans="1:31" s="211" customFormat="1" ht="15.75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1142</v>
      </c>
      <c r="E259" s="191">
        <v>42397</v>
      </c>
      <c r="F259" s="192" t="s">
        <v>555</v>
      </c>
      <c r="G259" s="456" t="s">
        <v>435</v>
      </c>
      <c r="H259" s="210" t="s">
        <v>1235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57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1"/>
      <c r="AC259" s="557" t="str">
        <f>IF(VLOOKUP(H259,DS_131,1,0)=H259,"","x")</f>
        <v/>
      </c>
      <c r="AD259" s="557"/>
      <c r="AE259" s="557"/>
    </row>
    <row r="260" spans="1:31" s="211" customFormat="1" ht="15.75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1143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57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1"/>
      <c r="AC260" s="557" t="str">
        <f>IF(VLOOKUP(F260,NXT!$C$35:$C$411,1,0)=F260,"","x")</f>
        <v/>
      </c>
      <c r="AD260" s="557"/>
      <c r="AE260" s="557"/>
    </row>
    <row r="261" spans="1:31" s="211" customFormat="1" ht="15.75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1143</v>
      </c>
      <c r="E261" s="191">
        <v>42397</v>
      </c>
      <c r="F261" s="192" t="s">
        <v>1272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57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1"/>
      <c r="AC261" s="557" t="str">
        <f>IF(VLOOKUP(F261,NXT!$C$35:$C$411,1,0)=F261,"","x")</f>
        <v/>
      </c>
      <c r="AD261" s="557"/>
    </row>
    <row r="262" spans="1:31" s="211" customFormat="1" ht="15.75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1143</v>
      </c>
      <c r="E262" s="191">
        <v>42397</v>
      </c>
      <c r="F262" s="192" t="s">
        <v>941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57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1"/>
      <c r="AC262" s="557" t="str">
        <f>IF(VLOOKUP(F262,NXT!$C$35:$C$411,1,0)=F262,"","x")</f>
        <v/>
      </c>
      <c r="AD262" s="557"/>
    </row>
    <row r="263" spans="1:31" s="211" customFormat="1" ht="15.75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1143</v>
      </c>
      <c r="E263" s="191">
        <v>42397</v>
      </c>
      <c r="F263" s="192" t="s">
        <v>1268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57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1"/>
      <c r="AC263" s="557" t="str">
        <f>IF(VLOOKUP(F263,NXT!$C$35:$C$411,1,0)=F263,"","x")</f>
        <v/>
      </c>
    </row>
    <row r="264" spans="1:31" s="211" customFormat="1" ht="15.75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1143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57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1"/>
      <c r="AC264" s="557" t="str">
        <f>IF(VLOOKUP(H264,DS_131,1,0)=H264,"","x")</f>
        <v/>
      </c>
      <c r="AD264" s="557"/>
    </row>
    <row r="265" spans="1:31" s="211" customFormat="1" ht="15.75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1144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57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1"/>
      <c r="AC265" s="557" t="str">
        <f>IF(VLOOKUP(F265,NXT!$C$35:$C$411,1,0)=F265,"","x")</f>
        <v/>
      </c>
      <c r="AD265" s="557"/>
    </row>
    <row r="266" spans="1:31" s="211" customFormat="1" ht="15.75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1144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57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1"/>
      <c r="AC266" s="557" t="str">
        <f>IF(VLOOKUP(F266,NXT!$C$35:$C$411,1,0)=F266,"","x")</f>
        <v/>
      </c>
      <c r="AD266" s="557"/>
    </row>
    <row r="267" spans="1:31" s="211" customFormat="1" ht="15.75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1144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57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1"/>
      <c r="AC267" s="557" t="str">
        <f>IF(VLOOKUP(H267,DS_131,1,0)=H267,"","x")</f>
        <v/>
      </c>
      <c r="AD267" s="557"/>
    </row>
    <row r="268" spans="1:31" s="211" customFormat="1" ht="15.75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1145</v>
      </c>
      <c r="E268" s="191">
        <v>42397</v>
      </c>
      <c r="F268" s="192" t="s">
        <v>942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57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1"/>
      <c r="AC268" s="557" t="str">
        <f>IF(VLOOKUP(F268,NXT!$C$35:$C$411,1,0)=F268,"","x")</f>
        <v/>
      </c>
      <c r="AD268" s="557"/>
    </row>
    <row r="269" spans="1:31" s="211" customFormat="1" ht="15.75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1145</v>
      </c>
      <c r="E269" s="191">
        <v>42397</v>
      </c>
      <c r="F269" s="192" t="s">
        <v>1273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57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1"/>
      <c r="AC269" s="557" t="str">
        <f>IF(VLOOKUP(F269,NXT!$C$35:$C$411,1,0)=F269,"","x")</f>
        <v/>
      </c>
      <c r="AD269" s="557"/>
    </row>
    <row r="270" spans="1:31" s="211" customFormat="1" ht="15.75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1145</v>
      </c>
      <c r="E270" s="191">
        <v>42397</v>
      </c>
      <c r="F270" s="192" t="s">
        <v>1274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57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1"/>
      <c r="AC270" s="557" t="str">
        <f>IF(VLOOKUP(F270,NXT!$C$35:$C$411,1,0)=F270,"","x")</f>
        <v/>
      </c>
      <c r="AD270" s="557"/>
    </row>
    <row r="271" spans="1:31" s="211" customFormat="1" ht="15.75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1145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57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1"/>
      <c r="AC271" s="557" t="str">
        <f>IF(VLOOKUP(H271,DS_131,1,0)=H271,"","x")</f>
        <v/>
      </c>
      <c r="AD271" s="557"/>
    </row>
    <row r="272" spans="1:31" s="211" customFormat="1" ht="15.75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1146</v>
      </c>
      <c r="E272" s="191">
        <v>42397</v>
      </c>
      <c r="F272" s="192" t="s">
        <v>1268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57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1"/>
      <c r="AC272" s="557" t="str">
        <f>IF(VLOOKUP(F272,NXT!$C$35:$C$411,1,0)=F272,"","x")</f>
        <v/>
      </c>
      <c r="AD272" s="557"/>
    </row>
    <row r="273" spans="1:33" s="211" customFormat="1" ht="15.75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1146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57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1"/>
      <c r="AC273" s="557" t="str">
        <f>IF(VLOOKUP(H273,DS_131,1,0)=H273,"","x")</f>
        <v/>
      </c>
      <c r="AD273" s="557"/>
    </row>
    <row r="274" spans="1:33" s="211" customFormat="1" ht="15.75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1147</v>
      </c>
      <c r="E274" s="191">
        <v>42397</v>
      </c>
      <c r="F274" s="189" t="s">
        <v>1339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57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1"/>
      <c r="AC274" s="557" t="str">
        <f>IF(VLOOKUP(F274,NXT!$C$35:$C$411,1,0)=F274,"","x")</f>
        <v/>
      </c>
    </row>
    <row r="275" spans="1:33" s="211" customFormat="1" ht="15.75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1147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57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1"/>
      <c r="AC275" s="557" t="str">
        <f>IF(VLOOKUP(H275,DS_131,1,0)=H275,"","x")</f>
        <v/>
      </c>
      <c r="AD275" s="557"/>
      <c r="AE275" s="557"/>
    </row>
    <row r="276" spans="1:33" s="211" customFormat="1" ht="15.75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1148</v>
      </c>
      <c r="E276" s="191">
        <v>42397</v>
      </c>
      <c r="F276" s="192" t="s">
        <v>943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57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1"/>
      <c r="AC276" s="557" t="str">
        <f>IF(VLOOKUP(F276,NXT!$C$35:$C$411,1,0)=F276,"","x")</f>
        <v/>
      </c>
      <c r="AD276" s="557"/>
      <c r="AE276" s="557"/>
    </row>
    <row r="277" spans="1:33" s="211" customFormat="1" ht="15.75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1148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57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1"/>
      <c r="AC277" s="557" t="str">
        <f>IF(VLOOKUP(F277,NXT!$C$35:$C$411,1,0)=F277,"","x")</f>
        <v/>
      </c>
      <c r="AD277" s="557"/>
      <c r="AE277" s="557"/>
    </row>
    <row r="278" spans="1:33" s="211" customFormat="1" ht="15.75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1148</v>
      </c>
      <c r="E278" s="191">
        <v>42397</v>
      </c>
      <c r="F278" s="192" t="s">
        <v>944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57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1"/>
      <c r="AC278" s="557" t="str">
        <f>IF(VLOOKUP(F278,NXT!$C$35:$C$411,1,0)=F278,"","x")</f>
        <v/>
      </c>
      <c r="AD278" s="557"/>
      <c r="AE278" s="557"/>
    </row>
    <row r="279" spans="1:33" s="211" customFormat="1" ht="15.75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1148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57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1"/>
      <c r="AC279" s="557" t="str">
        <f>IF(VLOOKUP(F279,NXT!$C$35:$C$411,1,0)=F279,"","x")</f>
        <v/>
      </c>
      <c r="AD279" s="557"/>
      <c r="AE279" s="557"/>
    </row>
    <row r="280" spans="1:33" s="211" customFormat="1" ht="15.75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1148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57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1"/>
      <c r="AC280" s="557" t="str">
        <f>IF(VLOOKUP(H280,DS_131,1,0)=H280,"","x")</f>
        <v/>
      </c>
      <c r="AD280" s="557"/>
      <c r="AE280" s="557"/>
    </row>
    <row r="281" spans="1:33" s="211" customFormat="1" ht="15.75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65">
        <v>28801080</v>
      </c>
      <c r="L281" s="566" t="s">
        <v>24</v>
      </c>
      <c r="M281" s="566" t="s">
        <v>259</v>
      </c>
      <c r="N281" s="52" t="str">
        <f>IF(AND('331-CT'!$E$7=TH!H281,OR(L281="331",M281="331")),"331",IF(AND(OR(L281="131",M281="131"),H281='131-CT'!$E$7),"131",""))</f>
        <v/>
      </c>
      <c r="O281" s="857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1"/>
      <c r="AC281" s="557" t="str">
        <f>IF(VLOOKUP(H281,DS_131,1,0)=H281,"","x")</f>
        <v/>
      </c>
      <c r="AF281" s="557"/>
      <c r="AG281" s="557"/>
    </row>
    <row r="282" spans="1:33" s="211" customFormat="1" ht="15.75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65">
        <v>22000</v>
      </c>
      <c r="L282" s="566" t="s">
        <v>83</v>
      </c>
      <c r="M282" s="566" t="s">
        <v>259</v>
      </c>
      <c r="N282" s="52" t="str">
        <f>IF(AND('331-CT'!$E$7=TH!H282,OR(L282="331",M282="331")),"331",IF(AND(OR(L282="131",M282="131"),H282='131-CT'!$E$7),"131",""))</f>
        <v/>
      </c>
      <c r="O282" s="857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1"/>
      <c r="AC282" s="557" t="str">
        <f>IF(VLOOKUP(H282,DS_131,1,0)=H282,"","x")</f>
        <v/>
      </c>
      <c r="AF282" s="557"/>
      <c r="AG282" s="557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66" t="s">
        <v>24</v>
      </c>
      <c r="N283" s="52" t="str">
        <f>IF(AND('331-CT'!$E$7=TH!H283,OR(L283="331",M283="331")),"331",IF(AND(OR(L283="131",M283="131"),H283='131-CT'!$E$7),"131",""))</f>
        <v/>
      </c>
      <c r="O283" s="857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1"/>
      <c r="AC283" s="557"/>
      <c r="AD283" s="557"/>
      <c r="AF283" s="557"/>
      <c r="AG283" s="557"/>
    </row>
    <row r="284" spans="1:33" s="211" customFormat="1" ht="15.75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66" t="s">
        <v>24</v>
      </c>
      <c r="N284" s="52" t="str">
        <f>IF(AND('331-CT'!$E$7=TH!H284,OR(L284="331",M284="331")),"331",IF(AND(OR(L284="131",M284="131"),H284='131-CT'!$E$7),"131",""))</f>
        <v/>
      </c>
      <c r="O284" s="857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1"/>
      <c r="AC284" s="557"/>
      <c r="AF284" s="557"/>
      <c r="AG284" s="557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66" t="s">
        <v>24</v>
      </c>
      <c r="N285" s="52" t="str">
        <f>IF(AND('331-CT'!$E$7=TH!H285,OR(L285="331",M285="331")),"331",IF(AND(OR(L285="131",M285="131"),H285='131-CT'!$E$7),"131",""))</f>
        <v/>
      </c>
      <c r="O285" s="857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1"/>
      <c r="AC285" s="557"/>
      <c r="AD285" s="557"/>
      <c r="AF285" s="557"/>
      <c r="AG285" s="557"/>
    </row>
    <row r="286" spans="1:33" s="211" customFormat="1" ht="15.75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1214</v>
      </c>
      <c r="E286" s="191">
        <v>42399</v>
      </c>
      <c r="F286" s="192" t="s">
        <v>844</v>
      </c>
      <c r="G286" s="456" t="s">
        <v>659</v>
      </c>
      <c r="H286" s="750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57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1">
        <v>1</v>
      </c>
      <c r="AC286" s="557"/>
      <c r="AD286" s="211" t="str">
        <f>IF(VLOOKUP(H286,DSKH,1,0)=H286,"","x")</f>
        <v/>
      </c>
      <c r="AF286" s="557"/>
      <c r="AG286" s="557"/>
    </row>
    <row r="287" spans="1:33" s="211" customFormat="1" ht="15.75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1214</v>
      </c>
      <c r="E287" s="191">
        <v>42399</v>
      </c>
      <c r="F287" s="192" t="s">
        <v>845</v>
      </c>
      <c r="G287" s="456" t="s">
        <v>659</v>
      </c>
      <c r="H287" s="750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57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1">
        <v>1</v>
      </c>
      <c r="AC287" s="557"/>
      <c r="AD287" s="211" t="str">
        <f>IF(VLOOKUP(H287,DSKH,1,0)=H287,"","x")</f>
        <v/>
      </c>
      <c r="AF287" s="557"/>
      <c r="AG287" s="557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0" t="s">
        <v>716</v>
      </c>
      <c r="I288" s="256"/>
      <c r="J288" s="256"/>
      <c r="K288" s="565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57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1"/>
      <c r="AC288" s="557"/>
      <c r="AD288" s="557"/>
      <c r="AF288" s="557"/>
      <c r="AG288" s="557"/>
    </row>
    <row r="289" spans="1:31" s="211" customFormat="1" ht="15.75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1149</v>
      </c>
      <c r="E289" s="191">
        <v>42399</v>
      </c>
      <c r="F289" s="192" t="s">
        <v>945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57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1"/>
      <c r="AC289" s="557" t="str">
        <f>IF(VLOOKUP(F289,NXT!$C$35:$C$411,1,0)=F289,"","x")</f>
        <v/>
      </c>
      <c r="AD289" s="557"/>
    </row>
    <row r="290" spans="1:31" s="211" customFormat="1" ht="15.75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1149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57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1"/>
      <c r="AC290" s="557" t="str">
        <f>IF(VLOOKUP(F290,NXT!$C$35:$C$411,1,0)=F290,"","x")</f>
        <v/>
      </c>
      <c r="AD290" s="557"/>
    </row>
    <row r="291" spans="1:31" s="211" customFormat="1" ht="15.75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1149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57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1"/>
      <c r="AC291" s="557" t="str">
        <f>IF(VLOOKUP(F291,NXT!$C$35:$C$411,1,0)=F291,"","x")</f>
        <v/>
      </c>
      <c r="AD291" s="557"/>
    </row>
    <row r="292" spans="1:31" s="211" customFormat="1" ht="15.75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1149</v>
      </c>
      <c r="E292" s="191">
        <v>42399</v>
      </c>
      <c r="F292" s="192" t="s">
        <v>928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57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1"/>
      <c r="AC292" s="557" t="str">
        <f>IF(VLOOKUP(F292,NXT!$C$35:$C$411,1,0)=F292,"","x")</f>
        <v/>
      </c>
      <c r="AD292" s="557"/>
    </row>
    <row r="293" spans="1:31" s="211" customFormat="1" ht="15.75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1149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57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1"/>
      <c r="AC293" s="557" t="str">
        <f>IF(VLOOKUP(H293,DS_131,1,0)=H293,"","x")</f>
        <v/>
      </c>
      <c r="AD293" s="557"/>
      <c r="AE293" s="557"/>
    </row>
    <row r="294" spans="1:31" s="211" customFormat="1" ht="15.75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1150</v>
      </c>
      <c r="E294" s="191">
        <v>42399</v>
      </c>
      <c r="F294" s="192" t="s">
        <v>510</v>
      </c>
      <c r="G294" s="192" t="s">
        <v>946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57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1"/>
      <c r="AC294" s="557" t="str">
        <f>IF(VLOOKUP(F294,NXT!$C$35:$C$411,1,0)=F294,"","x")</f>
        <v/>
      </c>
      <c r="AD294" s="557"/>
      <c r="AE294" s="557"/>
    </row>
    <row r="295" spans="1:31" s="211" customFormat="1" ht="15.75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1150</v>
      </c>
      <c r="E295" s="191">
        <v>42399</v>
      </c>
      <c r="F295" s="192" t="s">
        <v>947</v>
      </c>
      <c r="G295" s="192" t="s">
        <v>946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57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1"/>
      <c r="AC295" s="557" t="str">
        <f>IF(VLOOKUP(F295,NXT!$C$35:$C$411,1,0)=F295,"","x")</f>
        <v/>
      </c>
      <c r="AD295" s="557"/>
      <c r="AE295" s="557"/>
    </row>
    <row r="296" spans="1:31" s="211" customFormat="1" ht="15.75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1150</v>
      </c>
      <c r="E296" s="191">
        <v>42399</v>
      </c>
      <c r="F296" s="192" t="s">
        <v>948</v>
      </c>
      <c r="G296" s="192" t="s">
        <v>946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57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1"/>
      <c r="AC296" s="557" t="str">
        <f>IF(VLOOKUP(F296,NXT!$C$35:$C$411,1,0)=F296,"","x")</f>
        <v/>
      </c>
      <c r="AE296" s="557"/>
    </row>
    <row r="297" spans="1:31" s="211" customFormat="1" ht="15.75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1150</v>
      </c>
      <c r="E297" s="191">
        <v>42399</v>
      </c>
      <c r="F297" s="192" t="s">
        <v>949</v>
      </c>
      <c r="G297" s="192" t="s">
        <v>946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57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1"/>
      <c r="AC297" s="557" t="str">
        <f>IF(VLOOKUP(F297,NXT!$C$35:$C$411,1,0)=F297,"","x")</f>
        <v/>
      </c>
      <c r="AD297" s="557"/>
      <c r="AE297" s="557"/>
    </row>
    <row r="298" spans="1:31" s="211" customFormat="1" ht="15.75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1150</v>
      </c>
      <c r="E298" s="191">
        <v>42399</v>
      </c>
      <c r="F298" s="192" t="s">
        <v>950</v>
      </c>
      <c r="G298" s="192" t="s">
        <v>946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57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1"/>
      <c r="AC298" s="557" t="str">
        <f>IF(VLOOKUP(F298,NXT!$C$35:$C$411,1,0)=F298,"","x")</f>
        <v/>
      </c>
      <c r="AD298" s="557"/>
      <c r="AE298" s="557"/>
    </row>
    <row r="299" spans="1:31" s="211" customFormat="1" ht="15.75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1150</v>
      </c>
      <c r="E299" s="191">
        <v>42399</v>
      </c>
      <c r="F299" s="192" t="s">
        <v>423</v>
      </c>
      <c r="G299" s="192" t="s">
        <v>946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57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1"/>
      <c r="AC299" s="557" t="str">
        <f>IF(VLOOKUP(H299,DS_131,1,0)=H299,"","x")</f>
        <v/>
      </c>
      <c r="AD299" s="557"/>
      <c r="AE299" s="557"/>
    </row>
    <row r="300" spans="1:31" s="211" customFormat="1" ht="15.75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1151</v>
      </c>
      <c r="E300" s="191">
        <v>42399</v>
      </c>
      <c r="F300" s="192" t="s">
        <v>951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57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1"/>
      <c r="AC300" s="557" t="str">
        <f>IF(VLOOKUP(F300,NXT!$C$35:$C$411,1,0)=F300,"","x")</f>
        <v/>
      </c>
      <c r="AD300" s="557"/>
    </row>
    <row r="301" spans="1:31" s="211" customFormat="1" ht="15.75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1151</v>
      </c>
      <c r="E301" s="191">
        <v>42399</v>
      </c>
      <c r="F301" s="192" t="s">
        <v>952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57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1"/>
      <c r="AC301" s="557" t="str">
        <f>IF(VLOOKUP(F301,NXT!$C$35:$C$411,1,0)=F301,"","x")</f>
        <v/>
      </c>
      <c r="AD301" s="557"/>
    </row>
    <row r="302" spans="1:31" s="211" customFormat="1" ht="15.75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1151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57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1"/>
      <c r="AC302" s="557" t="str">
        <f>IF(VLOOKUP(H302,DS_131,1,0)=H302,"","x")</f>
        <v/>
      </c>
      <c r="AD302" s="557"/>
    </row>
    <row r="303" spans="1:31" s="211" customFormat="1" ht="15.75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1152</v>
      </c>
      <c r="E303" s="191">
        <v>42399</v>
      </c>
      <c r="F303" s="192" t="s">
        <v>953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57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1"/>
      <c r="AC303" s="557" t="str">
        <f>IF(VLOOKUP(F303,NXT!$C$35:$C$411,1,0)=F303,"","x")</f>
        <v/>
      </c>
      <c r="AD303" s="557"/>
    </row>
    <row r="304" spans="1:31" s="211" customFormat="1" ht="15.75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1152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57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1"/>
      <c r="AC304" s="557" t="str">
        <f>IF(VLOOKUP(H304,DS_131,1,0)=H304,"","x")</f>
        <v/>
      </c>
      <c r="AD304" s="557"/>
    </row>
    <row r="305" spans="1:33" s="211" customFormat="1" ht="15.75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65">
        <v>28031850</v>
      </c>
      <c r="L305" s="566" t="s">
        <v>24</v>
      </c>
      <c r="M305" s="566" t="s">
        <v>259</v>
      </c>
      <c r="N305" s="52" t="str">
        <f>IF(AND('331-CT'!$E$7=TH!H305,OR(L305="331",M305="331")),"331",IF(AND(OR(L305="131",M305="131"),H305='131-CT'!$E$7),"131",""))</f>
        <v/>
      </c>
      <c r="O305" s="857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1"/>
      <c r="AC305" s="557" t="str">
        <f>IF(VLOOKUP(H305,DS_131,1,0)=H305,"","x")</f>
        <v/>
      </c>
      <c r="AD305" s="557"/>
      <c r="AF305" s="557"/>
      <c r="AG305" s="557"/>
    </row>
    <row r="306" spans="1:33" s="211" customFormat="1" ht="15.75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66" t="s">
        <v>24</v>
      </c>
      <c r="N306" s="52" t="str">
        <f>IF(AND('331-CT'!$E$7=TH!H306,OR(L306="331",M306="331")),"331",IF(AND(OR(L306="131",M306="131"),H306='131-CT'!$E$7),"131",""))</f>
        <v/>
      </c>
      <c r="O306" s="857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1"/>
      <c r="AC306" s="557"/>
      <c r="AD306" s="557"/>
      <c r="AF306" s="557"/>
      <c r="AG306" s="557"/>
    </row>
    <row r="307" spans="1:33" s="211" customFormat="1" ht="15.75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1153</v>
      </c>
      <c r="E307" s="191">
        <v>42401</v>
      </c>
      <c r="F307" s="192" t="s">
        <v>954</v>
      </c>
      <c r="G307" s="192" t="s">
        <v>452</v>
      </c>
      <c r="H307" s="193" t="s">
        <v>1299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57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1"/>
      <c r="AC307" s="557" t="str">
        <f>IF(VLOOKUP(F307,NXT!$C$35:$C$411,1,0)=F307,"","x")</f>
        <v/>
      </c>
      <c r="AD307" s="557"/>
    </row>
    <row r="308" spans="1:33" s="211" customFormat="1" ht="15.75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1153</v>
      </c>
      <c r="E308" s="191">
        <v>42401</v>
      </c>
      <c r="F308" s="192" t="s">
        <v>423</v>
      </c>
      <c r="G308" s="192" t="s">
        <v>452</v>
      </c>
      <c r="H308" s="193" t="s">
        <v>1299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57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1"/>
      <c r="AC308" s="557" t="str">
        <f>IF(VLOOKUP(H308,DS_131,1,0)=H308,"","x")</f>
        <v/>
      </c>
    </row>
    <row r="309" spans="1:33" s="211" customFormat="1" ht="15.75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1154</v>
      </c>
      <c r="E309" s="191">
        <v>42401</v>
      </c>
      <c r="F309" s="192" t="s">
        <v>993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57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1"/>
      <c r="AC309" s="557" t="str">
        <f>IF(VLOOKUP(F309,NXT!$C$35:$C$411,1,0)=F309,"","x")</f>
        <v/>
      </c>
      <c r="AD309" s="557"/>
    </row>
    <row r="310" spans="1:33" s="211" customFormat="1" ht="15.75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1154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57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1"/>
      <c r="AC310" s="557" t="str">
        <f>IF(VLOOKUP(H310,DS_131,1,0)=H310,"","x")</f>
        <v/>
      </c>
      <c r="AD310" s="557"/>
      <c r="AE310" s="557"/>
    </row>
    <row r="311" spans="1:33" s="211" customFormat="1" ht="15.75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1155</v>
      </c>
      <c r="E311" s="191">
        <v>42401</v>
      </c>
      <c r="F311" s="192" t="s">
        <v>666</v>
      </c>
      <c r="G311" s="192" t="s">
        <v>955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57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1"/>
      <c r="AC311" s="557" t="str">
        <f>IF(VLOOKUP(F311,NXT!$C$35:$C$411,1,0)=F311,"","x")</f>
        <v/>
      </c>
      <c r="AD311" s="557"/>
      <c r="AE311" s="557"/>
    </row>
    <row r="312" spans="1:33" s="211" customFormat="1" ht="15.75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1155</v>
      </c>
      <c r="E312" s="191">
        <v>42401</v>
      </c>
      <c r="F312" s="192" t="s">
        <v>423</v>
      </c>
      <c r="G312" s="192" t="s">
        <v>955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57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1"/>
      <c r="AC312" s="557" t="str">
        <f>IF(VLOOKUP(H312,DS_131,1,0)=H312,"","x")</f>
        <v/>
      </c>
      <c r="AD312" s="557"/>
      <c r="AE312" s="557"/>
    </row>
    <row r="313" spans="1:33" s="211" customFormat="1" ht="15.75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66" t="s">
        <v>24</v>
      </c>
      <c r="N313" s="52" t="str">
        <f>IF(AND('331-CT'!$E$7=TH!H313,OR(L313="331",M313="331")),"331",IF(AND(OR(L313="131",M313="131"),H313='131-CT'!$E$7),"131",""))</f>
        <v/>
      </c>
      <c r="O313" s="857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1"/>
      <c r="AC313" s="557"/>
      <c r="AD313" s="557"/>
      <c r="AE313" s="557"/>
    </row>
    <row r="314" spans="1:33" s="211" customFormat="1" ht="15.75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1156</v>
      </c>
      <c r="E314" s="739">
        <v>42402</v>
      </c>
      <c r="F314" s="192" t="s">
        <v>689</v>
      </c>
      <c r="G314" s="192" t="s">
        <v>956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57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1"/>
      <c r="AC314" s="557" t="str">
        <f>IF(VLOOKUP(F314,NXT!$C$35:$C$411,1,0)=F314,"","x")</f>
        <v/>
      </c>
      <c r="AD314" s="557"/>
      <c r="AE314" s="557"/>
    </row>
    <row r="315" spans="1:33" s="211" customFormat="1" ht="15.75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1156</v>
      </c>
      <c r="E315" s="191">
        <v>42402</v>
      </c>
      <c r="F315" s="192" t="s">
        <v>688</v>
      </c>
      <c r="G315" s="192" t="s">
        <v>956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57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1"/>
      <c r="AC315" s="557" t="str">
        <f>IF(VLOOKUP(F315,NXT!$C$35:$C$411,1,0)=F315,"","x")</f>
        <v/>
      </c>
      <c r="AD315" s="557"/>
      <c r="AE315" s="557"/>
    </row>
    <row r="316" spans="1:33" s="211" customFormat="1" ht="15.75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1156</v>
      </c>
      <c r="E316" s="191">
        <v>42402</v>
      </c>
      <c r="F316" s="192" t="s">
        <v>423</v>
      </c>
      <c r="G316" s="192" t="s">
        <v>956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57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1"/>
      <c r="AC316" s="557" t="str">
        <f>IF(VLOOKUP(H316,DS_131,1,0)=H316,"","x")</f>
        <v/>
      </c>
      <c r="AD316" s="557"/>
      <c r="AE316" s="557"/>
    </row>
    <row r="317" spans="1:33" s="211" customFormat="1" ht="15.75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1157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57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1"/>
      <c r="AC317" s="557" t="str">
        <f>IF(VLOOKUP(F317,NXT!$C$35:$C$411,1,0)=F317,"","x")</f>
        <v/>
      </c>
      <c r="AD317" s="557"/>
    </row>
    <row r="318" spans="1:33" s="211" customFormat="1" ht="15.75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1157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57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1"/>
      <c r="AC318" s="557" t="str">
        <f>IF(VLOOKUP(H318,DS_131,1,0)=H318,"","x")</f>
        <v/>
      </c>
      <c r="AD318" s="557"/>
    </row>
    <row r="319" spans="1:33" s="211" customFormat="1" ht="15.75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65">
        <v>16342736</v>
      </c>
      <c r="L319" s="566" t="s">
        <v>24</v>
      </c>
      <c r="M319" s="566" t="s">
        <v>259</v>
      </c>
      <c r="N319" s="52" t="str">
        <f>IF(AND('331-CT'!$E$7=TH!H319,OR(L319="331",M319="331")),"331",IF(AND(OR(L319="131",M319="131"),H319='131-CT'!$E$7),"131",""))</f>
        <v/>
      </c>
      <c r="O319" s="857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1"/>
      <c r="AC319" s="557" t="str">
        <f>IF(VLOOKUP(H319,DS_131,1,0)=H319,"","x")</f>
        <v/>
      </c>
      <c r="AD319" s="557"/>
      <c r="AE319" s="557"/>
      <c r="AF319" s="557"/>
      <c r="AG319" s="557"/>
    </row>
    <row r="320" spans="1:33" s="211" customFormat="1" ht="15.75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65">
        <v>50530150</v>
      </c>
      <c r="L320" s="566" t="s">
        <v>24</v>
      </c>
      <c r="M320" s="566" t="s">
        <v>259</v>
      </c>
      <c r="N320" s="52" t="str">
        <f>IF(AND('331-CT'!$E$7=TH!H320,OR(L320="331",M320="331")),"331",IF(AND(OR(L320="131",M320="131"),H320='131-CT'!$E$7),"131",""))</f>
        <v/>
      </c>
      <c r="O320" s="857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1"/>
      <c r="AC320" s="557" t="str">
        <f>IF(VLOOKUP(H320,DS_131,1,0)=H320,"","x")</f>
        <v/>
      </c>
      <c r="AD320" s="557"/>
      <c r="AE320" s="557"/>
      <c r="AF320" s="557"/>
      <c r="AG320" s="557"/>
    </row>
    <row r="321" spans="1:33" s="211" customFormat="1" ht="15.75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66" t="s">
        <v>24</v>
      </c>
      <c r="N321" s="52" t="str">
        <f>IF(AND('331-CT'!$E$7=TH!H321,OR(L321="331",M321="331")),"331",IF(AND(OR(L321="131",M321="131"),H321='131-CT'!$E$7),"131",""))</f>
        <v/>
      </c>
      <c r="O321" s="857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1"/>
      <c r="AC321" s="557"/>
      <c r="AD321" s="557"/>
      <c r="AE321" s="557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66" t="s">
        <v>24</v>
      </c>
      <c r="N322" s="52" t="str">
        <f>IF(AND('331-CT'!$E$7=TH!H322,OR(L322="331",M322="331")),"331",IF(AND(OR(L322="131",M322="131"),H322='131-CT'!$E$7),"131",""))</f>
        <v/>
      </c>
      <c r="O322" s="857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1"/>
      <c r="AC322" s="557"/>
    </row>
    <row r="323" spans="1:33" s="211" customFormat="1" ht="15.75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1158</v>
      </c>
      <c r="E323" s="191">
        <v>42403</v>
      </c>
      <c r="F323" s="189" t="s">
        <v>1465</v>
      </c>
      <c r="G323" s="192" t="s">
        <v>957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57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1"/>
      <c r="AC323" s="557" t="str">
        <f>IF(VLOOKUP(F323,NXT!$C$35:$C$411,1,0)=F323,"","x")</f>
        <v/>
      </c>
      <c r="AD323" s="557"/>
    </row>
    <row r="324" spans="1:33" s="211" customFormat="1" ht="15.75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1158</v>
      </c>
      <c r="E324" s="191">
        <v>42403</v>
      </c>
      <c r="F324" s="189" t="s">
        <v>1338</v>
      </c>
      <c r="G324" s="192" t="s">
        <v>957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57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1"/>
      <c r="AC324" s="557" t="str">
        <f>IF(VLOOKUP(F324,NXT!$C$35:$C$411,1,0)=F324,"","x")</f>
        <v/>
      </c>
    </row>
    <row r="325" spans="1:33" s="211" customFormat="1" ht="15.75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1158</v>
      </c>
      <c r="E325" s="191">
        <v>42403</v>
      </c>
      <c r="F325" s="189" t="s">
        <v>1341</v>
      </c>
      <c r="G325" s="192" t="s">
        <v>957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57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1"/>
      <c r="AC325" s="557" t="str">
        <f>IF(VLOOKUP(F325,NXT!$C$35:$C$411,1,0)=F325,"","x")</f>
        <v/>
      </c>
      <c r="AD325" s="557"/>
    </row>
    <row r="326" spans="1:33" s="211" customFormat="1" ht="15.75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1158</v>
      </c>
      <c r="E326" s="739">
        <v>42403</v>
      </c>
      <c r="F326" s="189" t="s">
        <v>1339</v>
      </c>
      <c r="G326" s="192" t="s">
        <v>957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57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1"/>
      <c r="AC326" s="557" t="str">
        <f>IF(VLOOKUP(F326,NXT!$C$35:$C$411,1,0)=F326,"","x")</f>
        <v/>
      </c>
      <c r="AD326" s="557"/>
    </row>
    <row r="327" spans="1:33" s="211" customFormat="1" ht="15.75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1158</v>
      </c>
      <c r="E327" s="191">
        <v>42403</v>
      </c>
      <c r="F327" s="189" t="s">
        <v>1340</v>
      </c>
      <c r="G327" s="192" t="s">
        <v>957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57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1"/>
      <c r="AC327" s="557" t="str">
        <f>IF(VLOOKUP(F327,NXT!$C$35:$C$411,1,0)=F327,"","x")</f>
        <v/>
      </c>
      <c r="AD327" s="557"/>
    </row>
    <row r="328" spans="1:33" s="211" customFormat="1" ht="15.75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1158</v>
      </c>
      <c r="E328" s="191">
        <v>42403</v>
      </c>
      <c r="F328" s="189" t="s">
        <v>1467</v>
      </c>
      <c r="G328" s="192" t="s">
        <v>957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57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1"/>
      <c r="AC328" s="557" t="str">
        <f>IF(VLOOKUP(F328,NXT!$C$35:$C$411,1,0)=F328,"","x")</f>
        <v/>
      </c>
    </row>
    <row r="329" spans="1:33" s="211" customFormat="1" ht="15.75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1158</v>
      </c>
      <c r="E329" s="191">
        <v>42403</v>
      </c>
      <c r="F329" s="192" t="s">
        <v>423</v>
      </c>
      <c r="G329" s="192" t="s">
        <v>957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57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1"/>
      <c r="AC329" s="557" t="str">
        <f>IF(VLOOKUP(H329,DS_131,1,0)=H329,"","x")</f>
        <v/>
      </c>
      <c r="AD329" s="557"/>
    </row>
    <row r="330" spans="1:33" s="211" customFormat="1" ht="15.75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65">
        <v>2717000</v>
      </c>
      <c r="L330" s="566" t="s">
        <v>24</v>
      </c>
      <c r="M330" s="566" t="s">
        <v>259</v>
      </c>
      <c r="N330" s="52" t="str">
        <f>IF(AND('331-CT'!$E$7=TH!H330,OR(L330="331",M330="331")),"331",IF(AND(OR(L330="131",M330="131"),H330='131-CT'!$E$7),"131",""))</f>
        <v/>
      </c>
      <c r="O330" s="857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1"/>
      <c r="AC330" s="557" t="str">
        <f>IF(VLOOKUP(H330,DS_131,1,0)=H330,"","x")</f>
        <v/>
      </c>
      <c r="AD330" s="557"/>
      <c r="AE330" s="557"/>
      <c r="AF330" s="557"/>
      <c r="AG330" s="557"/>
    </row>
    <row r="331" spans="1:33" s="211" customFormat="1" ht="15.75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65">
        <v>2282500</v>
      </c>
      <c r="L331" s="566" t="s">
        <v>24</v>
      </c>
      <c r="M331" s="566" t="s">
        <v>259</v>
      </c>
      <c r="N331" s="52" t="str">
        <f>IF(AND('331-CT'!$E$7=TH!H331,OR(L331="331",M331="331")),"331",IF(AND(OR(L331="131",M331="131"),H331='131-CT'!$E$7),"131",""))</f>
        <v/>
      </c>
      <c r="O331" s="857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1"/>
      <c r="AC331" s="557" t="str">
        <f>IF(VLOOKUP(H331,DS_131,1,0)=H331,"","x")</f>
        <v/>
      </c>
      <c r="AD331" s="557"/>
      <c r="AE331" s="557"/>
      <c r="AF331" s="557"/>
      <c r="AG331" s="557"/>
    </row>
    <row r="332" spans="1:33" s="211" customFormat="1" ht="15.75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65">
        <v>3548160</v>
      </c>
      <c r="L332" s="566" t="s">
        <v>24</v>
      </c>
      <c r="M332" s="566" t="s">
        <v>259</v>
      </c>
      <c r="N332" s="52" t="str">
        <f>IF(AND('331-CT'!$E$7=TH!H332,OR(L332="331",M332="331")),"331",IF(AND(OR(L332="131",M332="131"),H332='131-CT'!$E$7),"131",""))</f>
        <v/>
      </c>
      <c r="O332" s="857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1"/>
      <c r="AC332" s="557" t="str">
        <f>IF(VLOOKUP(H332,DS_131,1,0)=H332,"","x")</f>
        <v/>
      </c>
      <c r="AD332" s="557"/>
      <c r="AE332" s="557"/>
      <c r="AF332" s="557"/>
      <c r="AG332" s="557"/>
    </row>
    <row r="333" spans="1:33" s="211" customFormat="1" ht="15.75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65">
        <v>11912120</v>
      </c>
      <c r="L333" s="566" t="s">
        <v>24</v>
      </c>
      <c r="M333" s="566" t="s">
        <v>259</v>
      </c>
      <c r="N333" s="52" t="str">
        <f>IF(AND('331-CT'!$E$7=TH!H333,OR(L333="331",M333="331")),"331",IF(AND(OR(L333="131",M333="131"),H333='131-CT'!$E$7),"131",""))</f>
        <v/>
      </c>
      <c r="O333" s="857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1"/>
      <c r="AC333" s="557" t="str">
        <f>IF(VLOOKUP(H333,DS_131,1,0)=H333,"","x")</f>
        <v/>
      </c>
      <c r="AD333" s="557"/>
      <c r="AE333" s="557"/>
      <c r="AF333" s="557"/>
      <c r="AG333" s="557"/>
    </row>
    <row r="334" spans="1:33" s="211" customFormat="1" ht="15.75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65">
        <v>27500000</v>
      </c>
      <c r="L334" s="566" t="s">
        <v>24</v>
      </c>
      <c r="M334" s="566" t="s">
        <v>47</v>
      </c>
      <c r="N334" s="52" t="str">
        <f>IF(AND('331-CT'!$E$7=TH!H334,OR(L334="331",M334="331")),"331",IF(AND(OR(L334="131",M334="131"),H334='131-CT'!$E$7),"131",""))</f>
        <v/>
      </c>
      <c r="O334" s="857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1"/>
      <c r="AC334" s="557"/>
      <c r="AD334" s="557"/>
      <c r="AE334" s="557"/>
      <c r="AF334" s="557"/>
      <c r="AG334" s="557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66" t="s">
        <v>24</v>
      </c>
      <c r="N335" s="52" t="str">
        <f>IF(AND('331-CT'!$E$7=TH!H335,OR(L335="331",M335="331")),"331",IF(AND(OR(L335="131",M335="131"),H335='131-CT'!$E$7),"131",""))</f>
        <v/>
      </c>
      <c r="O335" s="857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1"/>
      <c r="AC335" s="557"/>
      <c r="AD335" s="557"/>
    </row>
    <row r="336" spans="1:33" s="211" customFormat="1" ht="15.75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66" t="s">
        <v>24</v>
      </c>
      <c r="N336" s="52" t="str">
        <f>IF(AND('331-CT'!$E$7=TH!H336,OR(L336="331",M336="331")),"331",IF(AND(OR(L336="131",M336="131"),H336='131-CT'!$E$7),"131",""))</f>
        <v/>
      </c>
      <c r="O336" s="857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1"/>
      <c r="AC336" s="557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66" t="s">
        <v>24</v>
      </c>
      <c r="N337" s="52" t="str">
        <f>IF(AND('331-CT'!$E$7=TH!H337,OR(L337="331",M337="331")),"331",IF(AND(OR(L337="131",M337="131"),H337='131-CT'!$E$7),"131",""))</f>
        <v/>
      </c>
      <c r="O337" s="857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1"/>
      <c r="AC337" s="557"/>
      <c r="AD337" s="557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66" t="s">
        <v>24</v>
      </c>
      <c r="N338" s="52" t="str">
        <f>IF(AND('331-CT'!$E$7=TH!H338,OR(L338="331",M338="331")),"331",IF(AND(OR(L338="131",M338="131"),H338='131-CT'!$E$7),"131",""))</f>
        <v/>
      </c>
      <c r="O338" s="857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1"/>
      <c r="AC338" s="557"/>
      <c r="AD338" s="557"/>
    </row>
    <row r="339" spans="1:33" s="211" customFormat="1" ht="15.75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66" t="s">
        <v>24</v>
      </c>
      <c r="N339" s="52" t="str">
        <f>IF(AND('331-CT'!$E$7=TH!H339,OR(L339="331",M339="331")),"331",IF(AND(OR(L339="131",M339="131"),H339='131-CT'!$E$7),"131",""))</f>
        <v/>
      </c>
      <c r="O339" s="857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1"/>
      <c r="AC339" s="557"/>
      <c r="AD339" s="557"/>
    </row>
    <row r="340" spans="1:33" s="211" customFormat="1" ht="15.75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65">
        <v>10641840</v>
      </c>
      <c r="L340" s="566" t="s">
        <v>24</v>
      </c>
      <c r="M340" s="566" t="s">
        <v>259</v>
      </c>
      <c r="N340" s="52" t="str">
        <f>IF(AND('331-CT'!$E$7=TH!H340,OR(L340="331",M340="331")),"331",IF(AND(OR(L340="131",M340="131"),H340='131-CT'!$E$7),"131",""))</f>
        <v/>
      </c>
      <c r="O340" s="857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1"/>
      <c r="AC340" s="557" t="str">
        <f>IF(VLOOKUP(H340,DS_131,1,0)=H340,"","x")</f>
        <v/>
      </c>
      <c r="AD340" s="557"/>
      <c r="AE340" s="557"/>
      <c r="AF340" s="557"/>
      <c r="AG340" s="557"/>
    </row>
    <row r="341" spans="1:33" s="211" customFormat="1" ht="15.75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65">
        <v>6976000</v>
      </c>
      <c r="L341" s="566" t="s">
        <v>24</v>
      </c>
      <c r="M341" s="566" t="s">
        <v>259</v>
      </c>
      <c r="N341" s="52" t="str">
        <f>IF(AND('331-CT'!$E$7=TH!H341,OR(L341="331",M341="331")),"331",IF(AND(OR(L341="131",M341="131"),H341='131-CT'!$E$7),"131",""))</f>
        <v/>
      </c>
      <c r="O341" s="857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1"/>
      <c r="AC341" s="557" t="str">
        <f>IF(VLOOKUP(H341,DS_131,1,0)=H341,"","x")</f>
        <v/>
      </c>
      <c r="AD341" s="557"/>
      <c r="AE341" s="557"/>
      <c r="AF341" s="557"/>
      <c r="AG341" s="557"/>
    </row>
    <row r="342" spans="1:33" s="211" customFormat="1" ht="15.75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1159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57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1"/>
      <c r="AC342" s="557" t="str">
        <f>IF(VLOOKUP(F342,NXT!$C$35:$C$411,1,0)=F342,"","x")</f>
        <v/>
      </c>
      <c r="AD342" s="557"/>
    </row>
    <row r="343" spans="1:33" s="211" customFormat="1" ht="15.75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1159</v>
      </c>
      <c r="E343" s="191">
        <v>42418</v>
      </c>
      <c r="F343" s="192" t="s">
        <v>958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57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1"/>
      <c r="AC343" s="557" t="str">
        <f>IF(VLOOKUP(F343,NXT!$C$35:$C$411,1,0)=F343,"","x")</f>
        <v/>
      </c>
      <c r="AD343" s="557"/>
    </row>
    <row r="344" spans="1:33" s="211" customFormat="1" ht="15.75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1159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57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1"/>
      <c r="AC344" s="557" t="str">
        <f>IF(VLOOKUP(F344,NXT!$C$35:$C$411,1,0)=F344,"","x")</f>
        <v/>
      </c>
      <c r="AD344" s="557"/>
    </row>
    <row r="345" spans="1:33" s="211" customFormat="1" ht="15.75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1159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57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1"/>
      <c r="AC345" s="557" t="str">
        <f>IF(VLOOKUP(H345,DS_131,1,0)=H345,"","x")</f>
        <v/>
      </c>
      <c r="AD345" s="557"/>
    </row>
    <row r="346" spans="1:33" s="211" customFormat="1" ht="15.75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67" t="s">
        <v>795</v>
      </c>
      <c r="H346" s="193"/>
      <c r="I346" s="256"/>
      <c r="J346" s="256"/>
      <c r="K346" s="565">
        <v>13900000</v>
      </c>
      <c r="L346" s="566" t="s">
        <v>24</v>
      </c>
      <c r="M346" s="566" t="s">
        <v>24</v>
      </c>
      <c r="N346" s="52" t="str">
        <f>IF(AND('331-CT'!$E$7=TH!H346,OR(L346="331",M346="331")),"331",IF(AND(OR(L346="131",M346="131"),H346='131-CT'!$E$7),"131",""))</f>
        <v/>
      </c>
      <c r="O346" s="857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1"/>
      <c r="AC346" s="557"/>
      <c r="AD346" s="557"/>
      <c r="AE346" s="557"/>
      <c r="AF346" s="557"/>
      <c r="AG346" s="557"/>
    </row>
    <row r="347" spans="1:33" s="211" customFormat="1" ht="15.75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65">
        <v>36500000</v>
      </c>
      <c r="L347" s="566" t="s">
        <v>24</v>
      </c>
      <c r="M347" s="566" t="s">
        <v>47</v>
      </c>
      <c r="N347" s="52" t="str">
        <f>IF(AND('331-CT'!$E$7=TH!H347,OR(L347="331",M347="331")),"331",IF(AND(OR(L347="131",M347="131"),H347='131-CT'!$E$7),"131",""))</f>
        <v/>
      </c>
      <c r="O347" s="857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1"/>
      <c r="AC347" s="557"/>
      <c r="AD347" s="557"/>
      <c r="AE347" s="557"/>
      <c r="AF347" s="557"/>
      <c r="AG347" s="557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66" t="s">
        <v>24</v>
      </c>
      <c r="N348" s="52" t="str">
        <f>IF(AND('331-CT'!$E$7=TH!H348,OR(L348="331",M348="331")),"331",IF(AND(OR(L348="131",M348="131"),H348='131-CT'!$E$7),"131",""))</f>
        <v/>
      </c>
      <c r="O348" s="857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1"/>
      <c r="AC348" s="557"/>
      <c r="AD348" s="557"/>
    </row>
    <row r="349" spans="1:33" s="211" customFormat="1" ht="15.75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66" t="s">
        <v>24</v>
      </c>
      <c r="N349" s="52" t="str">
        <f>IF(AND('331-CT'!$E$7=TH!H349,OR(L349="331",M349="331")),"331",IF(AND(OR(L349="131",M349="131"),H349='131-CT'!$E$7),"131",""))</f>
        <v/>
      </c>
      <c r="O349" s="857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1"/>
      <c r="AC349" s="557"/>
      <c r="AD349" s="557"/>
    </row>
    <row r="350" spans="1:33" s="211" customFormat="1" ht="15.75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66" t="s">
        <v>24</v>
      </c>
      <c r="N350" s="52" t="str">
        <f>IF(AND('331-CT'!$E$7=TH!H350,OR(L350="331",M350="331")),"331",IF(AND(OR(L350="131",M350="131"),H350='131-CT'!$E$7),"131",""))</f>
        <v/>
      </c>
      <c r="O350" s="857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1"/>
      <c r="AC350" s="557"/>
      <c r="AD350" s="557"/>
    </row>
    <row r="351" spans="1:33" s="211" customFormat="1" ht="15.75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66" t="s">
        <v>24</v>
      </c>
      <c r="N351" s="52" t="str">
        <f>IF(AND('331-CT'!$E$7=TH!H351,OR(L351="331",M351="331")),"331",IF(AND(OR(L351="131",M351="131"),H351='131-CT'!$E$7),"131",""))</f>
        <v/>
      </c>
      <c r="O351" s="857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1"/>
      <c r="AC351" s="557"/>
      <c r="AD351" s="557"/>
    </row>
    <row r="352" spans="1:33" s="211" customFormat="1" ht="15.75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1216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66" t="s">
        <v>8</v>
      </c>
      <c r="N352" s="52" t="str">
        <f>IF(AND('331-CT'!$E$7=TH!H352,OR(L352="331",M352="331")),"331",IF(AND(OR(L352="131",M352="131"),H352='131-CT'!$E$7),"131",""))</f>
        <v/>
      </c>
      <c r="O352" s="857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1">
        <v>1</v>
      </c>
      <c r="AC352" s="557"/>
      <c r="AD352" s="211" t="str">
        <f>IF(VLOOKUP(H352,DSKH,1,0)=H352,"","x")</f>
        <v/>
      </c>
    </row>
    <row r="353" spans="1:33" s="211" customFormat="1" ht="15.75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1216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66" t="s">
        <v>8</v>
      </c>
      <c r="N353" s="52" t="str">
        <f>IF(AND('331-CT'!$E$7=TH!H353,OR(L353="331",M353="331")),"331",IF(AND(OR(L353="131",M353="131"),H353='131-CT'!$E$7),"131",""))</f>
        <v/>
      </c>
      <c r="O353" s="857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1">
        <v>1</v>
      </c>
      <c r="AC353" s="557"/>
      <c r="AD353" s="211" t="str">
        <f>IF(VLOOKUP(H353,DSKH,1,0)=H353,"","x")</f>
        <v/>
      </c>
    </row>
    <row r="354" spans="1:33" s="211" customFormat="1" ht="15.75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1216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68">
        <v>1779100</v>
      </c>
      <c r="L354" s="194" t="s">
        <v>9</v>
      </c>
      <c r="M354" s="566" t="s">
        <v>8</v>
      </c>
      <c r="N354" s="52" t="str">
        <f>IF(AND('331-CT'!$E$7=TH!H354,OR(L354="331",M354="331")),"331",IF(AND(OR(L354="131",M354="131"),H354='131-CT'!$E$7),"131",""))</f>
        <v/>
      </c>
      <c r="O354" s="857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1">
        <v>1</v>
      </c>
      <c r="AC354" s="557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66" t="s">
        <v>47</v>
      </c>
      <c r="N355" s="52" t="str">
        <f>IF(AND('331-CT'!$E$7=TH!H355,OR(L355="331",M355="331")),"331",IF(AND(OR(L355="131",M355="131"),H355='131-CT'!$E$7),"131",""))</f>
        <v/>
      </c>
      <c r="O355" s="857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1"/>
      <c r="AC355" s="557"/>
      <c r="AD355" s="211" t="str">
        <f>IF(VLOOKUP(H355,DSKH,1,0)=H355,"","x")</f>
        <v/>
      </c>
    </row>
    <row r="356" spans="1:33" s="211" customFormat="1" ht="15.75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65">
        <v>2347393</v>
      </c>
      <c r="L356" s="566" t="s">
        <v>81</v>
      </c>
      <c r="M356" s="566" t="s">
        <v>24</v>
      </c>
      <c r="N356" s="52" t="str">
        <f>IF(AND('331-CT'!$E$7=TH!H356,OR(L356="331",M356="331")),"331",IF(AND(OR(L356="131",M356="131"),H356='131-CT'!$E$7),"131",""))</f>
        <v/>
      </c>
      <c r="O356" s="857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1"/>
      <c r="AC356" s="557"/>
      <c r="AD356" s="557"/>
      <c r="AE356" s="557"/>
      <c r="AF356" s="557"/>
      <c r="AG356" s="557"/>
    </row>
    <row r="357" spans="1:33" s="211" customFormat="1" ht="15.75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65">
        <v>11653963</v>
      </c>
      <c r="L357" s="566" t="s">
        <v>81</v>
      </c>
      <c r="M357" s="566" t="s">
        <v>24</v>
      </c>
      <c r="N357" s="52" t="str">
        <f>IF(AND('331-CT'!$E$7=TH!H357,OR(L357="331",M357="331")),"331",IF(AND(OR(L357="131",M357="131"),H357='131-CT'!$E$7),"131",""))</f>
        <v/>
      </c>
      <c r="O357" s="857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1"/>
      <c r="AC357" s="557"/>
      <c r="AE357" s="557"/>
      <c r="AF357" s="557"/>
      <c r="AG357" s="557"/>
    </row>
    <row r="358" spans="1:33" s="211" customFormat="1" ht="15.75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1217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66" t="s">
        <v>8</v>
      </c>
      <c r="N358" s="52" t="str">
        <f>IF(AND('331-CT'!$E$7=TH!H358,OR(L358="331",M358="331")),"331",IF(AND(OR(L358="131",M358="131"),H358='131-CT'!$E$7),"131",""))</f>
        <v/>
      </c>
      <c r="O358" s="857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1">
        <v>1</v>
      </c>
      <c r="AC358" s="557"/>
      <c r="AD358" s="211" t="str">
        <f>IF(VLOOKUP(H358,DSKH,1,0)=H358,"","x")</f>
        <v/>
      </c>
      <c r="AF358" s="557"/>
      <c r="AG358" s="557"/>
    </row>
    <row r="359" spans="1:33" s="211" customFormat="1" ht="15.75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1217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66" t="s">
        <v>8</v>
      </c>
      <c r="N359" s="52" t="str">
        <f>IF(AND('331-CT'!$E$7=TH!H359,OR(L359="331",M359="331")),"331",IF(AND(OR(L359="131",M359="131"),H359='131-CT'!$E$7),"131",""))</f>
        <v/>
      </c>
      <c r="O359" s="857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1">
        <v>1</v>
      </c>
      <c r="AC359" s="557"/>
      <c r="AD359" s="211" t="str">
        <f>IF(VLOOKUP(H359,DSKH,1,0)=H359,"","x")</f>
        <v/>
      </c>
      <c r="AF359" s="557"/>
      <c r="AG359" s="557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66" t="s">
        <v>47</v>
      </c>
      <c r="N360" s="52" t="str">
        <f>IF(AND('331-CT'!$E$7=TH!H360,OR(L360="331",M360="331")),"331",IF(AND(OR(L360="131",M360="131"),H360='131-CT'!$E$7),"131",""))</f>
        <v/>
      </c>
      <c r="O360" s="857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1"/>
      <c r="AC360" s="557"/>
      <c r="AD360" s="211" t="str">
        <f>IF(VLOOKUP(H360,DSKH,1,0)=H360,"","x")</f>
        <v/>
      </c>
      <c r="AF360" s="557"/>
      <c r="AG360" s="557"/>
    </row>
    <row r="361" spans="1:33" s="211" customFormat="1" ht="15.75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1160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57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1"/>
      <c r="AC361" s="557" t="str">
        <f>IF(VLOOKUP(F361,NXT!$C$35:$C$411,1,0)=F361,"","x")</f>
        <v/>
      </c>
      <c r="AD361" s="557"/>
    </row>
    <row r="362" spans="1:33" s="211" customFormat="1" ht="15.75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1160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57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1"/>
      <c r="AC362" s="557" t="str">
        <f>IF(VLOOKUP(H362,DS_131,1,0)=H362,"","x")</f>
        <v/>
      </c>
      <c r="AD362" s="557"/>
      <c r="AE362" s="557"/>
    </row>
    <row r="363" spans="1:33" s="211" customFormat="1" ht="15.75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1218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66" t="s">
        <v>8</v>
      </c>
      <c r="N363" s="52" t="str">
        <f>IF(AND('331-CT'!$E$7=TH!H363,OR(L363="331",M363="331")),"331",IF(AND(OR(L363="131",M363="131"),H363='131-CT'!$E$7),"131",""))</f>
        <v/>
      </c>
      <c r="O363" s="857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1">
        <v>1</v>
      </c>
      <c r="AC363" s="557"/>
      <c r="AD363" s="211" t="str">
        <f>IF(VLOOKUP(H363,DSKH,1,0)=H363,"","x")</f>
        <v/>
      </c>
      <c r="AF363" s="557"/>
      <c r="AG363" s="557"/>
    </row>
    <row r="364" spans="1:33" s="211" customFormat="1" ht="15.75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1218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66" t="s">
        <v>8</v>
      </c>
      <c r="N364" s="52" t="str">
        <f>IF(AND('331-CT'!$E$7=TH!H364,OR(L364="331",M364="331")),"331",IF(AND(OR(L364="131",M364="131"),H364='131-CT'!$E$7),"131",""))</f>
        <v/>
      </c>
      <c r="O364" s="857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1">
        <v>1</v>
      </c>
      <c r="AC364" s="557"/>
      <c r="AD364" s="211" t="str">
        <f>IF(VLOOKUP(H364,DSKH,1,0)=H364,"","x")</f>
        <v/>
      </c>
      <c r="AF364" s="557"/>
      <c r="AG364" s="557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66" t="s">
        <v>47</v>
      </c>
      <c r="N365" s="52" t="str">
        <f>IF(AND('331-CT'!$E$7=TH!H365,OR(L365="331",M365="331")),"331",IF(AND(OR(L365="131",M365="131"),H365='131-CT'!$E$7),"131",""))</f>
        <v/>
      </c>
      <c r="O365" s="857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1"/>
      <c r="AC365" s="557"/>
      <c r="AD365" s="211" t="str">
        <f>IF(VLOOKUP(H365,DSKH,1,0)=H365,"","x")</f>
        <v/>
      </c>
      <c r="AF365" s="557"/>
      <c r="AG365" s="557"/>
    </row>
    <row r="366" spans="1:33" s="211" customFormat="1" ht="15.75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1161</v>
      </c>
      <c r="E366" s="191">
        <v>42422</v>
      </c>
      <c r="F366" s="192" t="s">
        <v>993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57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1"/>
      <c r="AC366" s="557" t="str">
        <f>IF(VLOOKUP(F366,NXT!$C$35:$C$411,1,0)=F366,"","x")</f>
        <v/>
      </c>
      <c r="AD366" s="557"/>
      <c r="AE366" s="557"/>
    </row>
    <row r="367" spans="1:33" s="211" customFormat="1" ht="15.75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1161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57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1"/>
      <c r="AC367" s="557" t="str">
        <f>IF(VLOOKUP(F367,NXT!$C$35:$C$411,1,0)=F367,"","x")</f>
        <v/>
      </c>
      <c r="AD367" s="557"/>
    </row>
    <row r="368" spans="1:33" s="211" customFormat="1" ht="15.75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1161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57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1"/>
      <c r="AC368" s="557" t="str">
        <f>IF(VLOOKUP(F368,NXT!$C$35:$C$411,1,0)=F368,"","x")</f>
        <v/>
      </c>
      <c r="AD368" s="557"/>
    </row>
    <row r="369" spans="1:33" s="211" customFormat="1" ht="15.75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1161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57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1"/>
      <c r="AC369" s="557" t="str">
        <f>IF(VLOOKUP(F369,NXT!$C$35:$C$411,1,0)=F369,"","x")</f>
        <v/>
      </c>
      <c r="AD369" s="557"/>
    </row>
    <row r="370" spans="1:33" s="211" customFormat="1" ht="15.75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1161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57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1"/>
      <c r="AC370" s="557" t="str">
        <f>IF(VLOOKUP(H370,DS_131,1,0)=H370,"","x")</f>
        <v/>
      </c>
      <c r="AD370" s="557"/>
    </row>
    <row r="371" spans="1:33" s="211" customFormat="1" ht="15.75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1219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66" t="s">
        <v>8</v>
      </c>
      <c r="N371" s="52" t="str">
        <f>IF(AND('331-CT'!$E$7=TH!H371,OR(L371="331",M371="331")),"331",IF(AND(OR(L371="131",M371="131"),H371='131-CT'!$E$7),"131",""))</f>
        <v/>
      </c>
      <c r="O371" s="857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1">
        <v>1</v>
      </c>
      <c r="AC371" s="557"/>
      <c r="AD371" s="211" t="str">
        <f>IF(VLOOKUP(H371,DSKH,1,0)=H371,"","x")</f>
        <v/>
      </c>
      <c r="AF371" s="557"/>
      <c r="AG371" s="557"/>
    </row>
    <row r="372" spans="1:33" s="211" customFormat="1" ht="15.75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1219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66" t="s">
        <v>8</v>
      </c>
      <c r="N372" s="52" t="str">
        <f>IF(AND('331-CT'!$E$7=TH!H372,OR(L372="331",M372="331")),"331",IF(AND(OR(L372="131",M372="131"),H372='131-CT'!$E$7),"131",""))</f>
        <v/>
      </c>
      <c r="O372" s="857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1">
        <v>1</v>
      </c>
      <c r="AC372" s="557"/>
      <c r="AD372" s="211" t="str">
        <f>IF(VLOOKUP(H372,DSKH,1,0)=H372,"","x")</f>
        <v/>
      </c>
      <c r="AF372" s="557"/>
      <c r="AG372" s="557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66" t="s">
        <v>47</v>
      </c>
      <c r="N373" s="52" t="str">
        <f>IF(AND('331-CT'!$E$7=TH!H373,OR(L373="331",M373="331")),"331",IF(AND(OR(L373="131",M373="131"),H373='131-CT'!$E$7),"131",""))</f>
        <v/>
      </c>
      <c r="O373" s="857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1"/>
      <c r="AC373" s="557"/>
      <c r="AD373" s="211" t="str">
        <f>IF(VLOOKUP(H373,DSKH,1,0)=H373,"","x")</f>
        <v/>
      </c>
      <c r="AF373" s="557"/>
      <c r="AG373" s="557"/>
    </row>
    <row r="374" spans="1:33" s="211" customFormat="1" ht="15.75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1162</v>
      </c>
      <c r="E374" s="191">
        <v>42423</v>
      </c>
      <c r="F374" s="192" t="s">
        <v>959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57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1"/>
      <c r="AC374" s="557" t="str">
        <f>IF(VLOOKUP(F374,NXT!$C$35:$C$411,1,0)=F374,"","x")</f>
        <v/>
      </c>
      <c r="AD374" s="557"/>
    </row>
    <row r="375" spans="1:33" s="211" customFormat="1" ht="15.75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1162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57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1"/>
      <c r="AC375" s="557" t="str">
        <f>IF(VLOOKUP(H375,DS_131,1,0)=H375,"","x")</f>
        <v/>
      </c>
      <c r="AD375" s="557"/>
    </row>
    <row r="376" spans="1:33" s="211" customFormat="1" ht="15.75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1163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57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1"/>
      <c r="AC376" s="557" t="str">
        <f>IF(VLOOKUP(F376,NXT!$C$35:$C$411,1,0)=F376,"","x")</f>
        <v/>
      </c>
      <c r="AD376" s="557"/>
    </row>
    <row r="377" spans="1:33" s="211" customFormat="1" ht="15.75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1163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57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1"/>
      <c r="AC377" s="557" t="str">
        <f>IF(VLOOKUP(H377,DS_131,1,0)=H377,"","x")</f>
        <v/>
      </c>
      <c r="AD377" s="557"/>
    </row>
    <row r="378" spans="1:33" s="211" customFormat="1" ht="15.75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1164</v>
      </c>
      <c r="E378" s="191">
        <v>42423</v>
      </c>
      <c r="F378" s="192" t="s">
        <v>1466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57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1"/>
      <c r="AC378" s="557" t="str">
        <f>IF(VLOOKUP(F378,NXT!$C$35:$C$411,1,0)=F378,"","x")</f>
        <v/>
      </c>
      <c r="AD378" s="557"/>
    </row>
    <row r="379" spans="1:33" s="211" customFormat="1" ht="15.75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1164</v>
      </c>
      <c r="E379" s="191">
        <v>42423</v>
      </c>
      <c r="F379" s="189" t="s">
        <v>1337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57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1"/>
      <c r="AC379" s="557" t="str">
        <f>IF(VLOOKUP(F379,NXT!$C$35:$C$411,1,0)=F379,"","x")</f>
        <v/>
      </c>
      <c r="AD379" s="557"/>
      <c r="AE379" s="557"/>
    </row>
    <row r="380" spans="1:33" s="211" customFormat="1" ht="15.75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1164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57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1"/>
      <c r="AC380" s="557" t="str">
        <f>IF(VLOOKUP(H380,DS_131,1,0)=H380,"","x")</f>
        <v/>
      </c>
      <c r="AD380" s="557"/>
    </row>
    <row r="381" spans="1:33" s="211" customFormat="1" ht="15.75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1165</v>
      </c>
      <c r="E381" s="739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57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1"/>
      <c r="AC381" s="557" t="str">
        <f>IF(VLOOKUP(F381,NXT!$C$35:$C$411,1,0)=F381,"","x")</f>
        <v/>
      </c>
    </row>
    <row r="382" spans="1:33" s="211" customFormat="1" ht="15.75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1165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57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1"/>
      <c r="AC382" s="557" t="str">
        <f>IF(VLOOKUP(F382,NXT!$C$35:$C$411,1,0)=F382,"","x")</f>
        <v/>
      </c>
      <c r="AD382" s="557"/>
    </row>
    <row r="383" spans="1:33" s="211" customFormat="1" ht="15.75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1165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57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1"/>
      <c r="AC383" s="557" t="str">
        <f>IF(VLOOKUP(F383,NXT!$C$35:$C$411,1,0)=F383,"","x")</f>
        <v/>
      </c>
    </row>
    <row r="384" spans="1:33" s="211" customFormat="1" ht="15.75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1165</v>
      </c>
      <c r="E384" s="191">
        <v>42423</v>
      </c>
      <c r="F384" s="874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57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1"/>
      <c r="AC384" s="557" t="str">
        <f>IF(VLOOKUP(H384,DS_131,1,0)=H384,"","x")</f>
        <v/>
      </c>
      <c r="AD384" s="557"/>
    </row>
    <row r="385" spans="1:33" s="211" customFormat="1" ht="15.75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65">
        <v>11583000</v>
      </c>
      <c r="L385" s="566" t="s">
        <v>24</v>
      </c>
      <c r="M385" s="566" t="s">
        <v>259</v>
      </c>
      <c r="N385" s="52" t="str">
        <f>IF(AND('331-CT'!$E$7=TH!H385,OR(L385="331",M385="331")),"331",IF(AND(OR(L385="131",M385="131"),H385='131-CT'!$E$7),"131",""))</f>
        <v/>
      </c>
      <c r="O385" s="857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1"/>
      <c r="AC385" s="557" t="str">
        <f>IF(VLOOKUP(H385,DS_131,1,0)=H385,"","x")</f>
        <v/>
      </c>
      <c r="AD385" s="557"/>
      <c r="AE385" s="557"/>
      <c r="AF385" s="557"/>
      <c r="AG385" s="557"/>
    </row>
    <row r="386" spans="1:33" s="211" customFormat="1" ht="15.75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66" t="s">
        <v>24</v>
      </c>
      <c r="N386" s="52" t="str">
        <f>IF(AND('331-CT'!$E$7=TH!H386,OR(L386="331",M386="331")),"331",IF(AND(OR(L386="131",M386="131"),H386='131-CT'!$E$7),"131",""))</f>
        <v/>
      </c>
      <c r="O386" s="857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1"/>
      <c r="AC386" s="557"/>
      <c r="AD386" s="557"/>
    </row>
    <row r="387" spans="1:33" s="211" customFormat="1" ht="15.75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1220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66" t="s">
        <v>8</v>
      </c>
      <c r="N387" s="52" t="str">
        <f>IF(AND('331-CT'!$E$7=TH!H387,OR(L387="331",M387="331")),"331",IF(AND(OR(L387="131",M387="131"),H387='131-CT'!$E$7),"131",""))</f>
        <v/>
      </c>
      <c r="O387" s="857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1">
        <v>1</v>
      </c>
      <c r="AC387" s="557"/>
      <c r="AD387" s="211" t="str">
        <f>IF(VLOOKUP(H387,DSKH,1,0)=H387,"","x")</f>
        <v/>
      </c>
      <c r="AF387" s="557"/>
      <c r="AG387" s="557"/>
    </row>
    <row r="388" spans="1:33" s="211" customFormat="1" ht="15.75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1220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66" t="s">
        <v>8</v>
      </c>
      <c r="N388" s="52" t="str">
        <f>IF(AND('331-CT'!$E$7=TH!H388,OR(L388="331",M388="331")),"331",IF(AND(OR(L388="131",M388="131"),H388='131-CT'!$E$7),"131",""))</f>
        <v/>
      </c>
      <c r="O388" s="857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1">
        <v>1</v>
      </c>
      <c r="AC388" s="557"/>
      <c r="AD388" s="211" t="str">
        <f>IF(VLOOKUP(H388,DSKH,1,0)=H388,"","x")</f>
        <v/>
      </c>
      <c r="AF388" s="557"/>
      <c r="AG388" s="557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66" t="s">
        <v>47</v>
      </c>
      <c r="N389" s="52" t="str">
        <f>IF(AND('331-CT'!$E$7=TH!H389,OR(L389="331",M389="331")),"331",IF(AND(OR(L389="131",M389="131"),H389='131-CT'!$E$7),"131",""))</f>
        <v/>
      </c>
      <c r="O389" s="857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1"/>
      <c r="AC389" s="557"/>
      <c r="AD389" s="211" t="str">
        <f>IF(VLOOKUP(H389,DSKH,1,0)=H389,"","x")</f>
        <v/>
      </c>
      <c r="AF389" s="557"/>
      <c r="AG389" s="557"/>
    </row>
    <row r="390" spans="1:33" s="211" customFormat="1" ht="15.75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1166</v>
      </c>
      <c r="E390" s="191">
        <v>42424</v>
      </c>
      <c r="F390" s="192" t="s">
        <v>960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57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1"/>
      <c r="AC390" s="557" t="str">
        <f>IF(VLOOKUP(F390,NXT!$C$35:$C$411,1,0)=F390,"","x")</f>
        <v/>
      </c>
      <c r="AD390" s="557"/>
    </row>
    <row r="391" spans="1:33" s="211" customFormat="1" ht="15.75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1166</v>
      </c>
      <c r="E391" s="191">
        <v>42424</v>
      </c>
      <c r="F391" s="874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57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1"/>
      <c r="AC391" s="557" t="str">
        <f>IF(VLOOKUP(H391,DS_131,1,0)=H391,"","x")</f>
        <v/>
      </c>
    </row>
    <row r="392" spans="1:33" s="211" customFormat="1" ht="15.75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1167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57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1"/>
      <c r="AC392" s="557" t="str">
        <f>IF(VLOOKUP(F392,NXT!$C$35:$C$411,1,0)=F392,"","x")</f>
        <v/>
      </c>
      <c r="AD392" s="557"/>
    </row>
    <row r="393" spans="1:33" s="211" customFormat="1" ht="15.75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1167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57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1"/>
      <c r="AC393" s="557" t="str">
        <f>IF(VLOOKUP(F393,NXT!$C$35:$C$411,1,0)=F393,"","x")</f>
        <v/>
      </c>
    </row>
    <row r="394" spans="1:33" s="211" customFormat="1" ht="15.75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1167</v>
      </c>
      <c r="E394" s="191">
        <v>42424</v>
      </c>
      <c r="F394" s="192" t="s">
        <v>943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57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1"/>
      <c r="AC394" s="557" t="str">
        <f>IF(VLOOKUP(F394,NXT!$C$35:$C$411,1,0)=F394,"","x")</f>
        <v/>
      </c>
      <c r="AD394" s="557"/>
    </row>
    <row r="395" spans="1:33" s="211" customFormat="1" ht="15.75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1167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57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1"/>
      <c r="AC395" s="557" t="str">
        <f>IF(VLOOKUP(H395,DS_131,1,0)=H395,"","x")</f>
        <v/>
      </c>
    </row>
    <row r="396" spans="1:33" s="211" customFormat="1" ht="15.75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1168</v>
      </c>
      <c r="E396" s="191">
        <v>42424</v>
      </c>
      <c r="F396" s="192" t="s">
        <v>546</v>
      </c>
      <c r="G396" s="192" t="s">
        <v>469</v>
      </c>
      <c r="H396" s="210" t="s">
        <v>1235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57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1"/>
      <c r="AC396" s="557" t="str">
        <f>IF(VLOOKUP(F396,NXT!$C$35:$C$411,1,0)=F396,"","x")</f>
        <v/>
      </c>
      <c r="AD396" s="557"/>
    </row>
    <row r="397" spans="1:33" s="211" customFormat="1" ht="15.75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1168</v>
      </c>
      <c r="E397" s="191">
        <v>42424</v>
      </c>
      <c r="F397" s="192" t="s">
        <v>1260</v>
      </c>
      <c r="G397" s="456" t="s">
        <v>469</v>
      </c>
      <c r="H397" s="210" t="s">
        <v>1235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57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1"/>
      <c r="AC397" s="557" t="str">
        <f>IF(VLOOKUP(F397,NXT!$C$35:$C$411,1,0)=F397,"","x")</f>
        <v/>
      </c>
    </row>
    <row r="398" spans="1:33" s="211" customFormat="1" ht="15.75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1168</v>
      </c>
      <c r="E398" s="191">
        <v>42424</v>
      </c>
      <c r="F398" s="192" t="s">
        <v>727</v>
      </c>
      <c r="G398" s="456" t="s">
        <v>469</v>
      </c>
      <c r="H398" s="210" t="s">
        <v>1235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57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1"/>
      <c r="AC398" s="557" t="str">
        <f>IF(VLOOKUP(F398,NXT!$C$35:$C$411,1,0)=F398,"","x")</f>
        <v/>
      </c>
      <c r="AD398" s="557"/>
    </row>
    <row r="399" spans="1:33" s="211" customFormat="1" ht="15.75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1168</v>
      </c>
      <c r="E399" s="191">
        <v>42424</v>
      </c>
      <c r="F399" s="192" t="s">
        <v>725</v>
      </c>
      <c r="G399" s="456" t="s">
        <v>469</v>
      </c>
      <c r="H399" s="210" t="s">
        <v>1235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57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1"/>
      <c r="AC399" s="557" t="str">
        <f>IF(VLOOKUP(F399,NXT!$C$35:$C$411,1,0)=F399,"","x")</f>
        <v/>
      </c>
      <c r="AD399" s="557"/>
    </row>
    <row r="400" spans="1:33" s="211" customFormat="1" ht="15.75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1168</v>
      </c>
      <c r="E400" s="191">
        <v>42424</v>
      </c>
      <c r="F400" s="192" t="s">
        <v>744</v>
      </c>
      <c r="G400" s="456" t="s">
        <v>469</v>
      </c>
      <c r="H400" s="210" t="s">
        <v>1235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57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1"/>
      <c r="AC400" s="557" t="str">
        <f>IF(VLOOKUP(F400,NXT!$C$35:$C$411,1,0)=F400,"","x")</f>
        <v/>
      </c>
      <c r="AD400" s="557"/>
    </row>
    <row r="401" spans="1:33" s="211" customFormat="1" ht="15.75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1168</v>
      </c>
      <c r="E401" s="191">
        <v>42424</v>
      </c>
      <c r="F401" s="192" t="s">
        <v>548</v>
      </c>
      <c r="G401" s="456" t="s">
        <v>469</v>
      </c>
      <c r="H401" s="210" t="s">
        <v>1235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57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1"/>
      <c r="AC401" s="557" t="str">
        <f>IF(VLOOKUP(F401,NXT!$C$35:$C$411,1,0)=F401,"","x")</f>
        <v/>
      </c>
      <c r="AD401" s="557"/>
    </row>
    <row r="402" spans="1:33" s="211" customFormat="1" ht="15.75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1168</v>
      </c>
      <c r="E402" s="820">
        <v>42424</v>
      </c>
      <c r="F402" s="821" t="s">
        <v>555</v>
      </c>
      <c r="G402" s="822" t="s">
        <v>469</v>
      </c>
      <c r="H402" s="210" t="s">
        <v>1235</v>
      </c>
      <c r="I402" s="824"/>
      <c r="J402" s="824"/>
      <c r="K402" s="825">
        <v>697439</v>
      </c>
      <c r="L402" s="875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57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1"/>
      <c r="AC402" s="557" t="str">
        <f>IF(VLOOKUP(H402,DS_131,1,0)=H402,"","x")</f>
        <v/>
      </c>
      <c r="AD402" s="557"/>
    </row>
    <row r="403" spans="1:33" s="211" customFormat="1" ht="15.75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65">
        <v>3332</v>
      </c>
      <c r="L403" s="566" t="s">
        <v>24</v>
      </c>
      <c r="M403" s="566" t="s">
        <v>40</v>
      </c>
      <c r="N403" s="52" t="str">
        <f>IF(AND('331-CT'!$E$7=TH!H403,OR(L403="331",M403="331")),"331",IF(AND(OR(L403="131",M403="131"),H403='131-CT'!$E$7),"131",""))</f>
        <v/>
      </c>
      <c r="O403" s="857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1"/>
      <c r="AC403" s="557"/>
      <c r="AD403" s="557"/>
      <c r="AE403" s="557"/>
      <c r="AF403" s="557"/>
      <c r="AG403" s="557"/>
    </row>
    <row r="404" spans="1:33" s="211" customFormat="1" ht="15.75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1169</v>
      </c>
      <c r="E404" s="191">
        <v>42425</v>
      </c>
      <c r="F404" s="192" t="s">
        <v>961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57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1"/>
      <c r="AC404" s="557" t="str">
        <f>IF(VLOOKUP(F404,NXT!$C$35:$C$411,1,0)=F404,"","x")</f>
        <v/>
      </c>
      <c r="AD404" s="557"/>
    </row>
    <row r="405" spans="1:33" s="211" customFormat="1" ht="15.75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1169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57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1"/>
      <c r="AC405" s="557" t="str">
        <f>IF(VLOOKUP(F405,NXT!$C$35:$C$411,1,0)=F405,"","x")</f>
        <v/>
      </c>
      <c r="AD405" s="557"/>
    </row>
    <row r="406" spans="1:33" s="211" customFormat="1" ht="15.75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1169</v>
      </c>
      <c r="E406" s="191">
        <v>42425</v>
      </c>
      <c r="F406" s="192" t="s">
        <v>947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57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1"/>
      <c r="AC406" s="557" t="str">
        <f>IF(VLOOKUP(F406,NXT!$C$35:$C$411,1,0)=F406,"","x")</f>
        <v/>
      </c>
      <c r="AD406" s="557"/>
    </row>
    <row r="407" spans="1:33" s="211" customFormat="1" ht="15.75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1169</v>
      </c>
      <c r="E407" s="191">
        <v>42425</v>
      </c>
      <c r="F407" s="192" t="s">
        <v>962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57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1"/>
      <c r="AC407" s="557" t="str">
        <f>IF(VLOOKUP(F407,NXT!$C$35:$C$411,1,0)=F407,"","x")</f>
        <v/>
      </c>
      <c r="AD407" s="557"/>
    </row>
    <row r="408" spans="1:33" s="211" customFormat="1" ht="15.75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1169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65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57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1"/>
      <c r="AC408" s="557" t="str">
        <f>IF(VLOOKUP(H408,DS_131,1,0)=H408,"","x")</f>
        <v/>
      </c>
    </row>
    <row r="409" spans="1:33" s="211" customFormat="1" ht="15.75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1170</v>
      </c>
      <c r="E409" s="191">
        <v>42425</v>
      </c>
      <c r="F409" s="192" t="s">
        <v>728</v>
      </c>
      <c r="G409" s="456" t="s">
        <v>472</v>
      </c>
      <c r="H409" s="210" t="s">
        <v>1235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57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1"/>
      <c r="AC409" s="557" t="str">
        <f>IF(VLOOKUP(F409,NXT!$C$35:$C$411,1,0)=F409,"","x")</f>
        <v/>
      </c>
      <c r="AD409" s="557"/>
    </row>
    <row r="410" spans="1:33" s="211" customFormat="1" ht="15.75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1170</v>
      </c>
      <c r="E410" s="191">
        <v>42425</v>
      </c>
      <c r="F410" s="192" t="s">
        <v>726</v>
      </c>
      <c r="G410" s="456" t="s">
        <v>472</v>
      </c>
      <c r="H410" s="210" t="s">
        <v>1235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57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1"/>
      <c r="AC410" s="557" t="str">
        <f>IF(VLOOKUP(F410,NXT!$C$35:$C$411,1,0)=F410,"","x")</f>
        <v/>
      </c>
      <c r="AD410" s="557"/>
    </row>
    <row r="411" spans="1:33" s="211" customFormat="1" ht="15.75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1170</v>
      </c>
      <c r="E411" s="191">
        <v>42425</v>
      </c>
      <c r="F411" s="192" t="s">
        <v>560</v>
      </c>
      <c r="G411" s="456" t="s">
        <v>472</v>
      </c>
      <c r="H411" s="210" t="s">
        <v>1235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57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1"/>
      <c r="AC411" s="557" t="str">
        <f>IF(VLOOKUP(F411,NXT!$C$35:$C$411,1,0)=F411,"","x")</f>
        <v/>
      </c>
    </row>
    <row r="412" spans="1:33" s="211" customFormat="1" ht="15.75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1170</v>
      </c>
      <c r="E412" s="191">
        <v>42425</v>
      </c>
      <c r="F412" s="192" t="s">
        <v>547</v>
      </c>
      <c r="G412" s="456" t="s">
        <v>472</v>
      </c>
      <c r="H412" s="210" t="s">
        <v>1235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57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1"/>
      <c r="AC412" s="557" t="str">
        <f>IF(VLOOKUP(F412,NXT!$C$35:$C$411,1,0)=F412,"","x")</f>
        <v/>
      </c>
      <c r="AD412" s="557"/>
    </row>
    <row r="413" spans="1:33" s="211" customFormat="1" ht="15.75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1170</v>
      </c>
      <c r="E413" s="191">
        <v>42425</v>
      </c>
      <c r="F413" s="192" t="s">
        <v>734</v>
      </c>
      <c r="G413" s="456" t="s">
        <v>472</v>
      </c>
      <c r="H413" s="210" t="s">
        <v>1235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57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1"/>
      <c r="AC413" s="557" t="str">
        <f>IF(VLOOKUP(F413,NXT!$C$35:$C$411,1,0)=F413,"","x")</f>
        <v/>
      </c>
      <c r="AD413" s="557"/>
      <c r="AE413" s="557"/>
    </row>
    <row r="414" spans="1:33" s="211" customFormat="1" ht="15.75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1170</v>
      </c>
      <c r="E414" s="191">
        <v>42425</v>
      </c>
      <c r="F414" s="192" t="s">
        <v>547</v>
      </c>
      <c r="G414" s="456" t="s">
        <v>472</v>
      </c>
      <c r="H414" s="210" t="s">
        <v>1235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57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1"/>
      <c r="AC414" s="557" t="str">
        <f>IF(VLOOKUP(F414,NXT!$C$35:$C$411,1,0)=F414,"","x")</f>
        <v/>
      </c>
      <c r="AD414" s="557"/>
    </row>
    <row r="415" spans="1:33" s="211" customFormat="1" ht="15.75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1170</v>
      </c>
      <c r="E415" s="191">
        <v>42425</v>
      </c>
      <c r="F415" s="192" t="s">
        <v>737</v>
      </c>
      <c r="G415" s="456" t="s">
        <v>472</v>
      </c>
      <c r="H415" s="210" t="s">
        <v>1235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57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1"/>
      <c r="AC415" s="557" t="str">
        <f>IF(VLOOKUP(F415,NXT!$C$35:$C$411,1,0)=F415,"","x")</f>
        <v/>
      </c>
      <c r="AD415" s="557"/>
    </row>
    <row r="416" spans="1:33" s="211" customFormat="1" ht="15.75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1170</v>
      </c>
      <c r="E416" s="191">
        <v>42425</v>
      </c>
      <c r="F416" s="192" t="s">
        <v>555</v>
      </c>
      <c r="G416" s="456" t="s">
        <v>472</v>
      </c>
      <c r="H416" s="210" t="s">
        <v>1235</v>
      </c>
      <c r="I416" s="256"/>
      <c r="J416" s="256"/>
      <c r="K416" s="565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57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1"/>
      <c r="AC416" s="557" t="str">
        <f>IF(VLOOKUP(H416,DS_131,1,0)=H416,"","x")</f>
        <v/>
      </c>
      <c r="AD416" s="557"/>
    </row>
    <row r="417" spans="1:33" s="211" customFormat="1" ht="15.75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65">
        <v>50000</v>
      </c>
      <c r="L417" s="566" t="s">
        <v>83</v>
      </c>
      <c r="M417" s="566" t="s">
        <v>24</v>
      </c>
      <c r="N417" s="52" t="str">
        <f>IF(AND('331-CT'!$E$7=TH!H417,OR(L417="331",M417="331")),"331",IF(AND(OR(L417="131",M417="131"),H417='131-CT'!$E$7),"131",""))</f>
        <v/>
      </c>
      <c r="O417" s="857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1">
        <v>1</v>
      </c>
      <c r="AC417" s="557"/>
      <c r="AD417" s="557"/>
      <c r="AE417" s="557"/>
      <c r="AF417" s="557"/>
      <c r="AG417" s="557"/>
    </row>
    <row r="418" spans="1:33" s="211" customFormat="1" ht="15.75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65">
        <v>5000</v>
      </c>
      <c r="L418" s="566" t="s">
        <v>9</v>
      </c>
      <c r="M418" s="566" t="s">
        <v>24</v>
      </c>
      <c r="N418" s="52" t="str">
        <f>IF(AND('331-CT'!$E$7=TH!H418,OR(L418="331",M418="331")),"331",IF(AND(OR(L418="131",M418="131"),H418='131-CT'!$E$7),"131",""))</f>
        <v/>
      </c>
      <c r="O418" s="857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1">
        <v>1</v>
      </c>
      <c r="AC418" s="557"/>
      <c r="AD418" s="557"/>
      <c r="AE418" s="557"/>
      <c r="AF418" s="557"/>
      <c r="AG418" s="557"/>
    </row>
    <row r="419" spans="1:33" s="211" customFormat="1" ht="15.75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1171</v>
      </c>
      <c r="E419" s="191">
        <v>42427</v>
      </c>
      <c r="F419" s="192" t="s">
        <v>729</v>
      </c>
      <c r="G419" s="456" t="s">
        <v>963</v>
      </c>
      <c r="H419" s="210" t="s">
        <v>1235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57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1"/>
      <c r="AC419" s="557" t="str">
        <f>IF(VLOOKUP(F419,NXT!$C$35:$C$411,1,0)=F419,"","x")</f>
        <v/>
      </c>
      <c r="AD419" s="557"/>
    </row>
    <row r="420" spans="1:33" s="211" customFormat="1" ht="15.75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1171</v>
      </c>
      <c r="E420" s="191">
        <v>42427</v>
      </c>
      <c r="F420" s="192" t="s">
        <v>738</v>
      </c>
      <c r="G420" s="456" t="s">
        <v>963</v>
      </c>
      <c r="H420" s="210" t="s">
        <v>1235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57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1"/>
      <c r="AC420" s="557" t="str">
        <f>IF(VLOOKUP(F420,NXT!$C$35:$C$411,1,0)=F420,"","x")</f>
        <v/>
      </c>
      <c r="AD420" s="557"/>
    </row>
    <row r="421" spans="1:33" s="211" customFormat="1" ht="15.75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1171</v>
      </c>
      <c r="E421" s="191">
        <v>42427</v>
      </c>
      <c r="F421" s="192" t="s">
        <v>727</v>
      </c>
      <c r="G421" s="456" t="s">
        <v>963</v>
      </c>
      <c r="H421" s="210" t="s">
        <v>1235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57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1"/>
      <c r="AC421" s="557" t="str">
        <f>IF(VLOOKUP(F421,NXT!$C$35:$C$411,1,0)=F421,"","x")</f>
        <v/>
      </c>
      <c r="AD421" s="557"/>
    </row>
    <row r="422" spans="1:33" s="211" customFormat="1" ht="15.75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1171</v>
      </c>
      <c r="E422" s="191">
        <v>42427</v>
      </c>
      <c r="F422" s="192" t="s">
        <v>1261</v>
      </c>
      <c r="G422" s="456" t="s">
        <v>963</v>
      </c>
      <c r="H422" s="210" t="s">
        <v>1235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57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1"/>
      <c r="AC422" s="557" t="str">
        <f>IF(VLOOKUP(F422,NXT!$C$35:$C$411,1,0)=F422,"","x")</f>
        <v/>
      </c>
    </row>
    <row r="423" spans="1:33" s="211" customFormat="1" ht="15.75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1171</v>
      </c>
      <c r="E423" s="191">
        <v>42427</v>
      </c>
      <c r="F423" s="192" t="s">
        <v>1262</v>
      </c>
      <c r="G423" s="456" t="s">
        <v>963</v>
      </c>
      <c r="H423" s="210" t="s">
        <v>1235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57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1"/>
      <c r="AC423" s="557" t="str">
        <f>IF(VLOOKUP(F423,NXT!$C$35:$C$411,1,0)=F423,"","x")</f>
        <v/>
      </c>
      <c r="AD423" s="557"/>
    </row>
    <row r="424" spans="1:33" s="211" customFormat="1" ht="15.75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1171</v>
      </c>
      <c r="E424" s="191">
        <v>42427</v>
      </c>
      <c r="F424" s="192" t="s">
        <v>735</v>
      </c>
      <c r="G424" s="456" t="s">
        <v>963</v>
      </c>
      <c r="H424" s="210" t="s">
        <v>1235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57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1"/>
      <c r="AC424" s="557" t="str">
        <f>IF(VLOOKUP(F424,NXT!$C$35:$C$411,1,0)=F424,"","x")</f>
        <v/>
      </c>
    </row>
    <row r="425" spans="1:33" s="211" customFormat="1" ht="15.75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1171</v>
      </c>
      <c r="E425" s="191">
        <v>42427</v>
      </c>
      <c r="F425" s="192" t="s">
        <v>1263</v>
      </c>
      <c r="G425" s="456" t="s">
        <v>963</v>
      </c>
      <c r="H425" s="210" t="s">
        <v>1235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57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1"/>
      <c r="AC425" s="557" t="str">
        <f>IF(VLOOKUP(F425,NXT!$C$35:$C$411,1,0)=F425,"","x")</f>
        <v/>
      </c>
      <c r="AD425" s="557"/>
    </row>
    <row r="426" spans="1:33" s="211" customFormat="1" ht="15.75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1171</v>
      </c>
      <c r="E426" s="191">
        <v>42427</v>
      </c>
      <c r="F426" s="192" t="s">
        <v>555</v>
      </c>
      <c r="G426" s="456" t="s">
        <v>963</v>
      </c>
      <c r="H426" s="210" t="s">
        <v>1235</v>
      </c>
      <c r="I426" s="256"/>
      <c r="J426" s="256"/>
      <c r="K426" s="565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57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1"/>
      <c r="AC426" s="557" t="str">
        <f>IF(VLOOKUP(H426,DS_131,1,0)=H426,"","x")</f>
        <v/>
      </c>
      <c r="AD426" s="557"/>
    </row>
    <row r="427" spans="1:33" s="211" customFormat="1" ht="15.75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1172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57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1"/>
      <c r="AC427" s="557" t="str">
        <f>IF(VLOOKUP(F427,NXT!$C$35:$C$411,1,0)=F427,"","x")</f>
        <v/>
      </c>
      <c r="AD427" s="557"/>
    </row>
    <row r="428" spans="1:33" s="211" customFormat="1" ht="15.75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1172</v>
      </c>
      <c r="E428" s="191">
        <v>42427</v>
      </c>
      <c r="F428" s="192" t="s">
        <v>964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57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1"/>
      <c r="AC428" s="557" t="str">
        <f>IF(VLOOKUP(F428,NXT!$C$35:$C$411,1,0)=F428,"","x")</f>
        <v/>
      </c>
      <c r="AD428" s="557"/>
    </row>
    <row r="429" spans="1:33" s="211" customFormat="1" ht="15.75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1172</v>
      </c>
      <c r="E429" s="191">
        <v>42427</v>
      </c>
      <c r="F429" s="192" t="s">
        <v>965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57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1"/>
      <c r="AC429" s="557" t="str">
        <f>IF(VLOOKUP(F429,NXT!$C$35:$C$411,1,0)=F429,"","x")</f>
        <v/>
      </c>
      <c r="AD429" s="557"/>
    </row>
    <row r="430" spans="1:33" s="211" customFormat="1" ht="15.75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1172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57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1"/>
      <c r="AC430" s="557" t="str">
        <f>IF(VLOOKUP(F430,NXT!$C$35:$C$411,1,0)=F430,"","x")</f>
        <v/>
      </c>
      <c r="AD430" s="557"/>
    </row>
    <row r="431" spans="1:33" s="211" customFormat="1" ht="15.75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1172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65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57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1"/>
      <c r="AC431" s="557" t="str">
        <f>IF(VLOOKUP(H431,DS_131,1,0)=H431,"","x")</f>
        <v/>
      </c>
      <c r="AD431" s="557"/>
    </row>
    <row r="432" spans="1:33" s="211" customFormat="1" ht="15.75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1173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57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1"/>
      <c r="AC432" s="557" t="str">
        <f>IF(VLOOKUP(F432,NXT!$C$35:$C$411,1,0)=F432,"","x")</f>
        <v/>
      </c>
      <c r="AD432" s="557"/>
    </row>
    <row r="433" spans="1:33" s="211" customFormat="1" ht="15.75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1173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65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57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1"/>
      <c r="AC433" s="557" t="str">
        <f>IF(VLOOKUP(H433,DS_131,1,0)=H433,"","x")</f>
        <v/>
      </c>
    </row>
    <row r="434" spans="1:33" s="211" customFormat="1" ht="15.75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1174</v>
      </c>
      <c r="E434" s="191">
        <v>42429</v>
      </c>
      <c r="F434" s="192" t="s">
        <v>466</v>
      </c>
      <c r="G434" s="456" t="s">
        <v>476</v>
      </c>
      <c r="H434" s="867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57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1"/>
      <c r="AC434" s="557" t="str">
        <f>IF(VLOOKUP(F434,NXT!$C$35:$C$411,1,0)=F434,"","x")</f>
        <v/>
      </c>
      <c r="AD434" s="557"/>
    </row>
    <row r="435" spans="1:33" s="211" customFormat="1" ht="15.75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1174</v>
      </c>
      <c r="E435" s="191">
        <v>42429</v>
      </c>
      <c r="F435" s="192" t="s">
        <v>423</v>
      </c>
      <c r="G435" s="456" t="s">
        <v>476</v>
      </c>
      <c r="H435" s="867" t="s">
        <v>595</v>
      </c>
      <c r="I435" s="256"/>
      <c r="J435" s="256"/>
      <c r="K435" s="565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57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1"/>
      <c r="AC435" s="557" t="str">
        <f>IF(VLOOKUP(H435,DS_131,1,0)=H435,"","x")</f>
        <v/>
      </c>
      <c r="AD435" s="557"/>
      <c r="AE435" s="626"/>
    </row>
    <row r="436" spans="1:33" s="211" customFormat="1" ht="15.75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1175</v>
      </c>
      <c r="E436" s="191">
        <v>42429</v>
      </c>
      <c r="F436" s="192" t="s">
        <v>966</v>
      </c>
      <c r="G436" s="456" t="s">
        <v>477</v>
      </c>
      <c r="H436" s="7" t="s">
        <v>1315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57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1"/>
      <c r="AC436" s="557" t="str">
        <f>IF(VLOOKUP(F436,NXT!$C$35:$C$411,1,0)=F436,"","x")</f>
        <v/>
      </c>
      <c r="AD436" s="557"/>
    </row>
    <row r="437" spans="1:33" s="211" customFormat="1" ht="15.75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1175</v>
      </c>
      <c r="E437" s="191">
        <v>42429</v>
      </c>
      <c r="F437" s="192" t="s">
        <v>967</v>
      </c>
      <c r="G437" s="456" t="s">
        <v>477</v>
      </c>
      <c r="H437" s="7" t="s">
        <v>1315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57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1"/>
      <c r="AC437" s="557" t="str">
        <f>IF(VLOOKUP(F437,NXT!$C$35:$C$411,1,0)=F437,"","x")</f>
        <v/>
      </c>
    </row>
    <row r="438" spans="1:33" s="211" customFormat="1" ht="15.75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1175</v>
      </c>
      <c r="E438" s="191">
        <v>42429</v>
      </c>
      <c r="F438" s="192" t="s">
        <v>423</v>
      </c>
      <c r="G438" s="456" t="s">
        <v>477</v>
      </c>
      <c r="H438" s="7" t="s">
        <v>1315</v>
      </c>
      <c r="I438" s="256"/>
      <c r="J438" s="256"/>
      <c r="K438" s="565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57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1"/>
      <c r="AC438" s="557" t="str">
        <f>IF(VLOOKUP(H438,DS_131,1,0)=H438,"","x")</f>
        <v/>
      </c>
      <c r="AD438" s="557"/>
    </row>
    <row r="439" spans="1:33" s="211" customFormat="1" ht="15.75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1176</v>
      </c>
      <c r="E439" s="191">
        <v>42429</v>
      </c>
      <c r="F439" s="192" t="s">
        <v>1468</v>
      </c>
      <c r="G439" s="456" t="s">
        <v>968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57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1"/>
      <c r="AC439" s="557" t="str">
        <f>IF(VLOOKUP(F439,NXT!$C$35:$C$411,1,0)=F439,"","x")</f>
        <v/>
      </c>
    </row>
    <row r="440" spans="1:33" s="211" customFormat="1" ht="15.75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1176</v>
      </c>
      <c r="E440" s="191">
        <v>42429</v>
      </c>
      <c r="F440" s="192" t="s">
        <v>423</v>
      </c>
      <c r="G440" s="456" t="s">
        <v>968</v>
      </c>
      <c r="H440" s="7" t="s">
        <v>673</v>
      </c>
      <c r="I440" s="256"/>
      <c r="J440" s="256"/>
      <c r="K440" s="565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57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1"/>
      <c r="AC440" s="557" t="str">
        <f>IF(VLOOKUP(H440,DS_131,1,0)=H440,"","x")</f>
        <v/>
      </c>
      <c r="AD440" s="557"/>
    </row>
    <row r="441" spans="1:33" s="211" customFormat="1" ht="15.75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65">
        <v>8140000</v>
      </c>
      <c r="L441" s="566" t="s">
        <v>24</v>
      </c>
      <c r="M441" s="566" t="s">
        <v>259</v>
      </c>
      <c r="N441" s="52" t="str">
        <f>IF(AND('331-CT'!$E$7=TH!H441,OR(L441="331",M441="331")),"331",IF(AND(OR(L441="131",M441="131"),H441='131-CT'!$E$7),"131",""))</f>
        <v/>
      </c>
      <c r="O441" s="857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1"/>
      <c r="AC441" s="557" t="str">
        <f>IF(VLOOKUP(H441,DS_131,1,0)=H441,"","x")</f>
        <v/>
      </c>
      <c r="AD441" s="557"/>
      <c r="AE441" s="557"/>
      <c r="AF441" s="557"/>
      <c r="AG441" s="557"/>
    </row>
    <row r="442" spans="1:33" s="211" customFormat="1" ht="15.75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65">
        <v>29877710</v>
      </c>
      <c r="L442" s="566" t="s">
        <v>24</v>
      </c>
      <c r="M442" s="566" t="s">
        <v>259</v>
      </c>
      <c r="N442" s="52" t="str">
        <f>IF(AND('331-CT'!$E$7=TH!H442,OR(L442="331",M442="331")),"331",IF(AND(OR(L442="131",M442="131"),H442='131-CT'!$E$7),"131",""))</f>
        <v/>
      </c>
      <c r="O442" s="857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1"/>
      <c r="AC442" s="557" t="str">
        <f>IF(VLOOKUP(H442,DS_131,1,0)=H442,"","x")</f>
        <v/>
      </c>
      <c r="AD442" s="557"/>
      <c r="AF442" s="557"/>
      <c r="AG442" s="557"/>
    </row>
    <row r="443" spans="1:33" s="211" customFormat="1" ht="15.75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66"/>
      <c r="K443" s="565">
        <v>17055720</v>
      </c>
      <c r="L443" s="566" t="s">
        <v>24</v>
      </c>
      <c r="M443" s="566" t="s">
        <v>259</v>
      </c>
      <c r="N443" s="52" t="str">
        <f>IF(AND('331-CT'!$E$7=TH!H443,OR(L443="331",M443="331")),"331",IF(AND(OR(L443="131",M443="131"),H443='131-CT'!$E$7),"131",""))</f>
        <v/>
      </c>
      <c r="O443" s="857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1"/>
      <c r="AC443" s="557" t="str">
        <f>IF(VLOOKUP(H443,DS_131,1,0)=H443,"","x")</f>
        <v/>
      </c>
      <c r="AD443" s="557"/>
      <c r="AF443" s="557"/>
      <c r="AG443" s="557"/>
    </row>
    <row r="444" spans="1:33" s="211" customFormat="1" ht="15.75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66" t="s">
        <v>24</v>
      </c>
      <c r="N444" s="52" t="str">
        <f>IF(AND('331-CT'!$E$7=TH!H444,OR(L444="331",M444="331")),"331",IF(AND(OR(L444="131",M444="131"),H444='131-CT'!$E$7),"131",""))</f>
        <v/>
      </c>
      <c r="O444" s="857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1"/>
      <c r="AC444" s="557"/>
      <c r="AD444" s="557"/>
      <c r="AE444" s="557"/>
    </row>
    <row r="445" spans="1:33" s="211" customFormat="1" ht="15.75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66" t="s">
        <v>24</v>
      </c>
      <c r="N445" s="52" t="str">
        <f>IF(AND('331-CT'!$E$7=TH!H445,OR(L445="331",M445="331")),"331",IF(AND(OR(L445="131",M445="131"),H445='131-CT'!$E$7),"131",""))</f>
        <v/>
      </c>
      <c r="O445" s="857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1"/>
      <c r="AC445" s="557"/>
      <c r="AD445" s="557"/>
      <c r="AE445" s="557"/>
    </row>
    <row r="446" spans="1:33" s="211" customFormat="1" ht="15.75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1221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66" t="s">
        <v>8</v>
      </c>
      <c r="N446" s="52" t="str">
        <f>IF(AND('331-CT'!$E$7=TH!H446,OR(L446="331",M446="331")),"331",IF(AND(OR(L446="131",M446="131"),H446='131-CT'!$E$7),"131",""))</f>
        <v/>
      </c>
      <c r="O446" s="857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1">
        <v>1</v>
      </c>
      <c r="AC446" s="557"/>
      <c r="AD446" s="211" t="str">
        <f>IF(VLOOKUP(H446,DSKH,1,0)=H446,"","x")</f>
        <v/>
      </c>
      <c r="AF446" s="557"/>
      <c r="AG446" s="557"/>
    </row>
    <row r="447" spans="1:33" s="211" customFormat="1" ht="15.75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1221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66" t="s">
        <v>8</v>
      </c>
      <c r="N447" s="52" t="str">
        <f>IF(AND('331-CT'!$E$7=TH!H447,OR(L447="331",M447="331")),"331",IF(AND(OR(L447="131",M447="131"),H447='131-CT'!$E$7),"131",""))</f>
        <v/>
      </c>
      <c r="O447" s="857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1">
        <v>1</v>
      </c>
      <c r="AC447" s="557"/>
      <c r="AD447" s="211" t="str">
        <f>IF(VLOOKUP(H447,DSKH,1,0)=H447,"","x")</f>
        <v/>
      </c>
      <c r="AF447" s="557"/>
      <c r="AG447" s="557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66" t="s">
        <v>47</v>
      </c>
      <c r="N448" s="52" t="str">
        <f>IF(AND('331-CT'!$E$7=TH!H448,OR(L448="331",M448="331")),"331",IF(AND(OR(L448="131",M448="131"),H448='131-CT'!$E$7),"131",""))</f>
        <v/>
      </c>
      <c r="O448" s="857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1"/>
      <c r="AC448" s="557"/>
      <c r="AD448" s="211" t="str">
        <f>IF(VLOOKUP(H448,DSKH,1,0)=H448,"","x")</f>
        <v/>
      </c>
      <c r="AF448" s="557"/>
      <c r="AG448" s="557"/>
    </row>
    <row r="449" spans="1:33" s="211" customFormat="1" ht="15.75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1177</v>
      </c>
      <c r="E449" s="191">
        <v>42430</v>
      </c>
      <c r="F449" s="192" t="s">
        <v>969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57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1"/>
      <c r="AC449" s="557" t="str">
        <f>IF(VLOOKUP(F449,NXT!$C$35:$C$411,1,0)=F449,"","x")</f>
        <v/>
      </c>
      <c r="AD449" s="557"/>
    </row>
    <row r="450" spans="1:33" s="211" customFormat="1" ht="15.75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1177</v>
      </c>
      <c r="E450" s="191">
        <v>42430</v>
      </c>
      <c r="F450" s="192" t="s">
        <v>933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57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1"/>
      <c r="AC450" s="557" t="str">
        <f>IF(VLOOKUP(F450,NXT!$C$35:$C$411,1,0)=F450,"","x")</f>
        <v/>
      </c>
      <c r="AD450" s="557"/>
    </row>
    <row r="451" spans="1:33" s="211" customFormat="1" ht="15.75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1177</v>
      </c>
      <c r="E451" s="191">
        <v>42430</v>
      </c>
      <c r="F451" s="192" t="s">
        <v>970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57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1"/>
      <c r="AC451" s="557" t="str">
        <f>IF(VLOOKUP(F451,NXT!$C$35:$C$411,1,0)=F451,"","x")</f>
        <v/>
      </c>
    </row>
    <row r="452" spans="1:33" s="211" customFormat="1" ht="15.75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1177</v>
      </c>
      <c r="E452" s="191">
        <v>42430</v>
      </c>
      <c r="F452" s="192" t="s">
        <v>971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57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1"/>
      <c r="AC452" s="557" t="str">
        <f>IF(VLOOKUP(F452,NXT!$C$35:$C$411,1,0)=F452,"","x")</f>
        <v/>
      </c>
    </row>
    <row r="453" spans="1:33" s="211" customFormat="1" ht="15.75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1177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65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57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1"/>
      <c r="AC453" s="557" t="str">
        <f>IF(VLOOKUP(H453,DS_131,1,0)=H453,"","x")</f>
        <v/>
      </c>
    </row>
    <row r="454" spans="1:33" s="211" customFormat="1" ht="15.75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1178</v>
      </c>
      <c r="E454" s="191">
        <v>42430</v>
      </c>
      <c r="F454" s="192" t="s">
        <v>466</v>
      </c>
      <c r="G454" s="456" t="s">
        <v>480</v>
      </c>
      <c r="H454" s="867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57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1"/>
      <c r="AC454" s="557" t="str">
        <f>IF(VLOOKUP(F454,NXT!$C$35:$C$411,1,0)=F454,"","x")</f>
        <v/>
      </c>
      <c r="AD454" s="557"/>
    </row>
    <row r="455" spans="1:33" s="211" customFormat="1" ht="15.75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1178</v>
      </c>
      <c r="E455" s="191">
        <v>42430</v>
      </c>
      <c r="F455" s="192" t="s">
        <v>423</v>
      </c>
      <c r="G455" s="456" t="s">
        <v>480</v>
      </c>
      <c r="H455" s="867" t="s">
        <v>595</v>
      </c>
      <c r="I455" s="256"/>
      <c r="J455" s="256"/>
      <c r="K455" s="565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57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1"/>
      <c r="AC455" s="557" t="str">
        <f>IF(VLOOKUP(H455,DS_131,1,0)=H455,"","x")</f>
        <v/>
      </c>
      <c r="AD455" s="557"/>
    </row>
    <row r="456" spans="1:33" s="211" customFormat="1" ht="15.75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1179</v>
      </c>
      <c r="E456" s="191">
        <v>42430</v>
      </c>
      <c r="F456" s="192" t="s">
        <v>972</v>
      </c>
      <c r="G456" s="456" t="s">
        <v>481</v>
      </c>
      <c r="H456" s="7" t="s">
        <v>1316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57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1"/>
      <c r="AC456" s="557" t="str">
        <f>IF(VLOOKUP(F456,NXT!$C$35:$C$411,1,0)=F456,"","x")</f>
        <v/>
      </c>
      <c r="AD456" s="557"/>
    </row>
    <row r="457" spans="1:33" s="211" customFormat="1" ht="15.75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1179</v>
      </c>
      <c r="E457" s="191">
        <v>42430</v>
      </c>
      <c r="F457" s="192" t="s">
        <v>973</v>
      </c>
      <c r="G457" s="456" t="s">
        <v>481</v>
      </c>
      <c r="H457" s="7" t="s">
        <v>1316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57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1"/>
      <c r="AC457" s="557" t="str">
        <f>IF(VLOOKUP(F457,NXT!$C$35:$C$411,1,0)=F457,"","x")</f>
        <v/>
      </c>
      <c r="AD457" s="557"/>
    </row>
    <row r="458" spans="1:33" s="211" customFormat="1" ht="15.75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1179</v>
      </c>
      <c r="E458" s="191">
        <v>42430</v>
      </c>
      <c r="F458" s="192" t="s">
        <v>974</v>
      </c>
      <c r="G458" s="456" t="s">
        <v>481</v>
      </c>
      <c r="H458" s="7" t="s">
        <v>1316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57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1"/>
      <c r="AC458" s="557" t="str">
        <f>IF(VLOOKUP(F458,NXT!$C$35:$C$411,1,0)=F458,"","x")</f>
        <v/>
      </c>
      <c r="AD458" s="557"/>
    </row>
    <row r="459" spans="1:33" s="211" customFormat="1" ht="15.75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1179</v>
      </c>
      <c r="E459" s="191">
        <v>42430</v>
      </c>
      <c r="F459" s="192" t="s">
        <v>975</v>
      </c>
      <c r="G459" s="456" t="s">
        <v>481</v>
      </c>
      <c r="H459" s="7" t="s">
        <v>1316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57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1"/>
      <c r="AC459" s="557" t="str">
        <f>IF(VLOOKUP(F459,NXT!$C$35:$C$411,1,0)=F459,"","x")</f>
        <v/>
      </c>
      <c r="AD459" s="557"/>
    </row>
    <row r="460" spans="1:33" s="211" customFormat="1" ht="15.75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1179</v>
      </c>
      <c r="E460" s="191">
        <v>42430</v>
      </c>
      <c r="F460" s="291" t="s">
        <v>976</v>
      </c>
      <c r="G460" s="456" t="s">
        <v>481</v>
      </c>
      <c r="H460" s="7" t="s">
        <v>1316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57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1"/>
      <c r="AC460" s="557" t="str">
        <f>IF(VLOOKUP(F460,NXT!$C$35:$C$411,1,0)=F460,"","x")</f>
        <v/>
      </c>
    </row>
    <row r="461" spans="1:33" s="211" customFormat="1" ht="15.75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1179</v>
      </c>
      <c r="E461" s="191">
        <v>42430</v>
      </c>
      <c r="F461" s="291" t="s">
        <v>977</v>
      </c>
      <c r="G461" s="456" t="s">
        <v>481</v>
      </c>
      <c r="H461" s="7" t="s">
        <v>1316</v>
      </c>
      <c r="I461" s="753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57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1"/>
      <c r="AC461" s="557" t="str">
        <f>IF(VLOOKUP(F461,NXT!$C$35:$C$411,1,0)=F461,"","x")</f>
        <v/>
      </c>
      <c r="AD461" s="557"/>
    </row>
    <row r="462" spans="1:33" s="211" customFormat="1" ht="15.75" customHeight="1">
      <c r="A462" s="204" t="str">
        <f>IF(B462&lt;&gt;"",IF(AND(B462&gt;=_TM1,B462&lt;=_TM2,OR(TH!L1033="1111",TH!M1033="1111")),TH!D1033,""),"")</f>
        <v/>
      </c>
      <c r="B462" s="818">
        <f t="shared" si="25"/>
        <v>3</v>
      </c>
      <c r="C462" s="819">
        <f t="shared" si="26"/>
        <v>42430</v>
      </c>
      <c r="D462" s="191" t="s">
        <v>1179</v>
      </c>
      <c r="E462" s="191">
        <v>42430</v>
      </c>
      <c r="F462" s="189" t="s">
        <v>978</v>
      </c>
      <c r="G462" s="456" t="s">
        <v>481</v>
      </c>
      <c r="H462" s="7" t="s">
        <v>1316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57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1"/>
      <c r="AC462" s="557" t="str">
        <f>IF(VLOOKUP(F462,NXT!$C$35:$C$411,1,0)=F462,"","x")</f>
        <v/>
      </c>
      <c r="AD462" s="827"/>
      <c r="AE462" s="827">
        <v>362400</v>
      </c>
      <c r="AF462" s="827"/>
      <c r="AG462" s="829">
        <f>AE462-K462</f>
        <v>-4482600</v>
      </c>
    </row>
    <row r="463" spans="1:33" s="211" customFormat="1" ht="15.75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1179</v>
      </c>
      <c r="E463" s="191">
        <v>42430</v>
      </c>
      <c r="F463" s="189" t="s">
        <v>423</v>
      </c>
      <c r="G463" s="456" t="s">
        <v>481</v>
      </c>
      <c r="H463" s="7" t="s">
        <v>1316</v>
      </c>
      <c r="I463" s="259"/>
      <c r="J463" s="259"/>
      <c r="K463" s="565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57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1"/>
      <c r="AC463" s="557" t="str">
        <f>IF(VLOOKUP(H463,DS_131,1,0)=H463,"","x")</f>
        <v/>
      </c>
      <c r="AD463" s="557"/>
    </row>
    <row r="464" spans="1:33" s="211" customFormat="1" ht="15.75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66"/>
      <c r="K464" s="565">
        <v>9111751</v>
      </c>
      <c r="L464" s="566" t="s">
        <v>24</v>
      </c>
      <c r="M464" s="566" t="s">
        <v>259</v>
      </c>
      <c r="N464" s="52" t="str">
        <f>IF(AND('331-CT'!$E$7=TH!H464,OR(L464="331",M464="331")),"331",IF(AND(OR(L464="131",M464="131"),H464='131-CT'!$E$7),"131",""))</f>
        <v/>
      </c>
      <c r="O464" s="857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1"/>
      <c r="AC464" s="557" t="str">
        <f>IF(VLOOKUP(H464,DS_131,1,0)=H464,"","x")</f>
        <v/>
      </c>
      <c r="AD464" s="557"/>
      <c r="AE464" s="557"/>
      <c r="AF464" s="557"/>
      <c r="AG464" s="557"/>
    </row>
    <row r="465" spans="1:33" s="211" customFormat="1" ht="15.75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66" t="s">
        <v>24</v>
      </c>
      <c r="N465" s="52" t="str">
        <f>IF(AND('331-CT'!$E$7=TH!H465,OR(L465="331",M465="331")),"331",IF(AND(OR(L465="131",M465="131"),H465='131-CT'!$E$7),"131",""))</f>
        <v/>
      </c>
      <c r="O465" s="857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1"/>
      <c r="AC465" s="557"/>
      <c r="AD465" s="557"/>
    </row>
    <row r="466" spans="1:33" s="211" customFormat="1" ht="15.75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1222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66" t="s">
        <v>8</v>
      </c>
      <c r="N466" s="52" t="str">
        <f>IF(AND('331-CT'!$E$7=TH!H466,OR(L466="331",M466="331")),"331",IF(AND(OR(L466="131",M466="131"),H466='131-CT'!$E$7),"131",""))</f>
        <v/>
      </c>
      <c r="O466" s="857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1">
        <v>1</v>
      </c>
      <c r="AC466" s="557"/>
      <c r="AD466" s="211" t="str">
        <f>IF(VLOOKUP(H466,DSKH,1,0)=H466,"","x")</f>
        <v/>
      </c>
      <c r="AF466" s="557"/>
      <c r="AG466" s="557"/>
    </row>
    <row r="467" spans="1:33" s="211" customFormat="1" ht="15.75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1222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66" t="s">
        <v>8</v>
      </c>
      <c r="N467" s="52" t="str">
        <f>IF(AND('331-CT'!$E$7=TH!H467,OR(L467="331",M467="331")),"331",IF(AND(OR(L467="131",M467="131"),H467='131-CT'!$E$7),"131",""))</f>
        <v/>
      </c>
      <c r="O467" s="857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1">
        <v>1</v>
      </c>
      <c r="AC467" s="557"/>
      <c r="AD467" s="211" t="str">
        <f>IF(VLOOKUP(H467,DSKH,1,0)=H467,"","x")</f>
        <v/>
      </c>
      <c r="AF467" s="557"/>
      <c r="AG467" s="557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66" t="s">
        <v>47</v>
      </c>
      <c r="N468" s="52" t="str">
        <f>IF(AND('331-CT'!$E$7=TH!H468,OR(L468="331",M468="331")),"331",IF(AND(OR(L468="131",M468="131"),H468='131-CT'!$E$7),"131",""))</f>
        <v/>
      </c>
      <c r="O468" s="857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1"/>
      <c r="AC468" s="557"/>
      <c r="AD468" s="211" t="str">
        <f>IF(VLOOKUP(H468,DSKH,1,0)=H468,"","x")</f>
        <v/>
      </c>
      <c r="AF468" s="557"/>
      <c r="AG468" s="557"/>
    </row>
    <row r="469" spans="1:33" s="211" customFormat="1" ht="15.75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1180</v>
      </c>
      <c r="E469" s="191">
        <v>42434</v>
      </c>
      <c r="F469" s="189" t="s">
        <v>971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57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1"/>
      <c r="AC469" s="557" t="str">
        <f>IF(VLOOKUP(F469,NXT!$C$35:$C$411,1,0)=F469,"","x")</f>
        <v/>
      </c>
      <c r="AD469" s="557"/>
    </row>
    <row r="470" spans="1:33" s="211" customFormat="1" ht="15.75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1180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65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57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1"/>
      <c r="AC470" s="557" t="str">
        <f>IF(VLOOKUP(H470,DS_131,1,0)=H470,"","x")</f>
        <v/>
      </c>
      <c r="AD470" s="557"/>
    </row>
    <row r="471" spans="1:33" s="211" customFormat="1" ht="15.75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1181</v>
      </c>
      <c r="E471" s="191">
        <v>42434</v>
      </c>
      <c r="F471" s="192" t="s">
        <v>1474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57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1"/>
      <c r="AC471" s="557" t="str">
        <f>IF(VLOOKUP(F471,NXT!$C$35:$C$411,1,0)=F471,"","x")</f>
        <v/>
      </c>
      <c r="AE471" s="557"/>
    </row>
    <row r="472" spans="1:33" s="211" customFormat="1" ht="15.75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1181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65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57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1"/>
      <c r="AC472" s="557" t="str">
        <f>IF(VLOOKUP(H472,DS_131,1,0)=H472,"","x")</f>
        <v/>
      </c>
      <c r="AD472" s="557"/>
      <c r="AE472" s="557"/>
    </row>
    <row r="473" spans="1:33" s="211" customFormat="1" ht="15.75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1182</v>
      </c>
      <c r="E473" s="191">
        <v>42436</v>
      </c>
      <c r="F473" s="291" t="s">
        <v>1470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57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1"/>
      <c r="AC473" s="557" t="str">
        <f>IF(VLOOKUP(F473,NXT!$C$35:$C$411,1,0)=F473,"","x")</f>
        <v/>
      </c>
      <c r="AD473" s="557"/>
      <c r="AE473" s="557"/>
    </row>
    <row r="474" spans="1:33" s="211" customFormat="1" ht="15.75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1182</v>
      </c>
      <c r="E474" s="191">
        <v>42436</v>
      </c>
      <c r="F474" s="291" t="s">
        <v>1471</v>
      </c>
      <c r="G474" s="567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57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1"/>
      <c r="AC474" s="557" t="str">
        <f>IF(VLOOKUP(F474,NXT!$C$35:$C$411,1,0)=F474,"","x")</f>
        <v/>
      </c>
    </row>
    <row r="475" spans="1:33" s="211" customFormat="1" ht="15.75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1182</v>
      </c>
      <c r="E475" s="191">
        <v>42436</v>
      </c>
      <c r="F475" s="189" t="s">
        <v>423</v>
      </c>
      <c r="G475" s="567" t="s">
        <v>485</v>
      </c>
      <c r="H475" s="7" t="s">
        <v>673</v>
      </c>
      <c r="I475" s="256"/>
      <c r="J475" s="256"/>
      <c r="K475" s="565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57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1"/>
      <c r="AC475" s="557" t="str">
        <f>IF(VLOOKUP(H475,DS_131,1,0)=H475,"","x")</f>
        <v/>
      </c>
      <c r="AD475" s="557"/>
      <c r="AE475" s="557"/>
    </row>
    <row r="476" spans="1:33" s="211" customFormat="1" ht="15.75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65">
        <v>15000</v>
      </c>
      <c r="L476" s="566" t="s">
        <v>83</v>
      </c>
      <c r="M476" s="566" t="s">
        <v>24</v>
      </c>
      <c r="N476" s="52" t="str">
        <f>IF(AND('331-CT'!$E$7=TH!H476,OR(L476="331",M476="331")),"331",IF(AND(OR(L476="131",M476="131"),H476='131-CT'!$E$7),"131",""))</f>
        <v/>
      </c>
      <c r="O476" s="857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1">
        <v>1</v>
      </c>
      <c r="AC476" s="557"/>
      <c r="AD476" s="557"/>
      <c r="AE476" s="557"/>
      <c r="AF476" s="557"/>
      <c r="AG476" s="557"/>
    </row>
    <row r="477" spans="1:33" s="211" customFormat="1" ht="15.75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65">
        <v>1500</v>
      </c>
      <c r="L477" s="566" t="s">
        <v>9</v>
      </c>
      <c r="M477" s="566" t="s">
        <v>24</v>
      </c>
      <c r="N477" s="52" t="str">
        <f>IF(AND('331-CT'!$E$7=TH!H477,OR(L477="331",M477="331")),"331",IF(AND(OR(L477="131",M477="131"),H477='131-CT'!$E$7),"131",""))</f>
        <v/>
      </c>
      <c r="O477" s="857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1">
        <v>1</v>
      </c>
      <c r="AC477" s="557"/>
      <c r="AD477" s="557"/>
      <c r="AE477" s="557"/>
      <c r="AF477" s="557"/>
      <c r="AG477" s="557"/>
    </row>
    <row r="478" spans="1:33" s="211" customFormat="1" ht="15.75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66"/>
      <c r="K478" s="565">
        <v>10151130</v>
      </c>
      <c r="L478" s="566" t="s">
        <v>24</v>
      </c>
      <c r="M478" s="566" t="s">
        <v>259</v>
      </c>
      <c r="N478" s="52" t="str">
        <f>IF(AND('331-CT'!$E$7=TH!H478,OR(L478="331",M478="331")),"331",IF(AND(OR(L478="131",M478="131"),H478='131-CT'!$E$7),"131",""))</f>
        <v/>
      </c>
      <c r="O478" s="857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1"/>
      <c r="AC478" s="557" t="str">
        <f>IF(VLOOKUP(H478,DS_131,1,0)=H478,"","x")</f>
        <v/>
      </c>
      <c r="AD478" s="557"/>
      <c r="AE478" s="557"/>
      <c r="AF478" s="557"/>
      <c r="AG478" s="557"/>
    </row>
    <row r="479" spans="1:33" s="211" customFormat="1" ht="15.75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1183</v>
      </c>
      <c r="E479" s="191">
        <v>42437</v>
      </c>
      <c r="F479" s="189" t="s">
        <v>670</v>
      </c>
      <c r="G479" s="567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57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1"/>
      <c r="AC479" s="557" t="str">
        <f>IF(VLOOKUP(F479,NXT!$C$35:$C$411,1,0)=F479,"","x")</f>
        <v/>
      </c>
      <c r="AE479" s="557"/>
    </row>
    <row r="480" spans="1:33" s="211" customFormat="1" ht="15.75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1183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65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57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1"/>
      <c r="AC480" s="557" t="str">
        <f>IF(VLOOKUP(H480,DS_131,1,0)=H480,"","x")</f>
        <v/>
      </c>
      <c r="AD480" s="557"/>
    </row>
    <row r="481" spans="1:33" s="211" customFormat="1" ht="15.75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1184</v>
      </c>
      <c r="E481" s="191">
        <v>42437</v>
      </c>
      <c r="F481" s="192" t="s">
        <v>894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57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1"/>
      <c r="AC481" s="557" t="str">
        <f>IF(VLOOKUP(F481,NXT!$C$35:$C$411,1,0)=F481,"","x")</f>
        <v/>
      </c>
    </row>
    <row r="482" spans="1:33" s="211" customFormat="1" ht="15.75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1184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65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57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1"/>
      <c r="AC482" s="557" t="str">
        <f>IF(VLOOKUP(H482,DS_131,1,0)=H482,"","x")</f>
        <v/>
      </c>
      <c r="AD482" s="557"/>
    </row>
    <row r="483" spans="1:33" s="211" customFormat="1" ht="15.75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65">
        <v>200000000</v>
      </c>
      <c r="L483" s="566" t="s">
        <v>24</v>
      </c>
      <c r="M483" s="566" t="s">
        <v>786</v>
      </c>
      <c r="N483" s="52" t="str">
        <f>IF(AND('331-CT'!$E$7=TH!H483,OR(L483="331",M483="331")),"331",IF(AND(OR(L483="131",M483="131"),H483='131-CT'!$E$7),"131",""))</f>
        <v/>
      </c>
      <c r="O483" s="857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1"/>
      <c r="AC483" s="557"/>
      <c r="AD483" s="557"/>
      <c r="AE483" s="557"/>
      <c r="AF483" s="557"/>
      <c r="AG483" s="557"/>
    </row>
    <row r="484" spans="1:33" s="211" customFormat="1" ht="15.75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65">
        <v>200000000</v>
      </c>
      <c r="L484" s="566" t="s">
        <v>47</v>
      </c>
      <c r="M484" s="566" t="s">
        <v>24</v>
      </c>
      <c r="N484" s="52" t="str">
        <f>IF(AND('331-CT'!$E$7=TH!H484,OR(L484="331",M484="331")),"331",IF(AND(OR(L484="131",M484="131"),H484='131-CT'!$E$7),"131",""))</f>
        <v/>
      </c>
      <c r="O484" s="857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1"/>
      <c r="AC484" s="557"/>
      <c r="AD484" s="557"/>
      <c r="AE484" s="557"/>
      <c r="AF484" s="557"/>
      <c r="AG484" s="557"/>
    </row>
    <row r="485" spans="1:33" s="211" customFormat="1" ht="15.75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1223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66" t="s">
        <v>8</v>
      </c>
      <c r="N485" s="52" t="str">
        <f>IF(AND('331-CT'!$E$7=TH!H485,OR(L485="331",M485="331")),"331",IF(AND(OR(L485="131",M485="131"),H485='131-CT'!$E$7),"131",""))</f>
        <v/>
      </c>
      <c r="O485" s="857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1">
        <v>1</v>
      </c>
      <c r="AC485" s="557"/>
      <c r="AD485" s="211" t="str">
        <f>IF(VLOOKUP(H485,DSKH,1,0)=H485,"","x")</f>
        <v/>
      </c>
      <c r="AF485" s="557"/>
      <c r="AG485" s="557"/>
    </row>
    <row r="486" spans="1:33" s="211" customFormat="1" ht="15.75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1223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66" t="s">
        <v>8</v>
      </c>
      <c r="N486" s="52" t="str">
        <f>IF(AND('331-CT'!$E$7=TH!H486,OR(L486="331",M486="331")),"331",IF(AND(OR(L486="131",M486="131"),H486='131-CT'!$E$7),"131",""))</f>
        <v/>
      </c>
      <c r="O486" s="857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1">
        <v>1</v>
      </c>
      <c r="AC486" s="557"/>
      <c r="AD486" s="211" t="str">
        <f>IF(VLOOKUP(H486,DSKH,1,0)=H486,"","x")</f>
        <v/>
      </c>
      <c r="AF486" s="557"/>
      <c r="AG486" s="557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66" t="s">
        <v>47</v>
      </c>
      <c r="N487" s="52" t="str">
        <f>IF(AND('331-CT'!$E$7=TH!H487,OR(L487="331",M487="331")),"331",IF(AND(OR(L487="131",M487="131"),H487='131-CT'!$E$7),"131",""))</f>
        <v/>
      </c>
      <c r="O487" s="857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1"/>
      <c r="AC487" s="557"/>
      <c r="AD487" s="211" t="str">
        <f>IF(VLOOKUP(H487,DSKH,1,0)=H487,"","x")</f>
        <v/>
      </c>
      <c r="AF487" s="557"/>
      <c r="AG487" s="557"/>
    </row>
    <row r="488" spans="1:33" s="211" customFormat="1" ht="15.75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66"/>
      <c r="K488" s="565">
        <v>40000000</v>
      </c>
      <c r="L488" s="566" t="s">
        <v>24</v>
      </c>
      <c r="M488" s="566" t="s">
        <v>47</v>
      </c>
      <c r="N488" s="52" t="str">
        <f>IF(AND('331-CT'!$E$7=TH!H488,OR(L488="331",M488="331")),"331",IF(AND(OR(L488="131",M488="131"),H488='131-CT'!$E$7),"131",""))</f>
        <v/>
      </c>
      <c r="O488" s="857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1"/>
      <c r="AC488" s="557"/>
      <c r="AD488" s="557"/>
      <c r="AE488" s="557"/>
      <c r="AF488" s="557"/>
      <c r="AG488" s="557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66" t="s">
        <v>24</v>
      </c>
      <c r="N489" s="52" t="str">
        <f>IF(AND('331-CT'!$E$7=TH!H489,OR(L489="331",M489="331")),"331",IF(AND(OR(L489="131",M489="131"),H489='131-CT'!$E$7),"131",""))</f>
        <v/>
      </c>
      <c r="O489" s="857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1"/>
      <c r="AC489" s="557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66" t="s">
        <v>24</v>
      </c>
      <c r="N490" s="52" t="str">
        <f>IF(AND('331-CT'!$E$7=TH!H490,OR(L490="331",M490="331")),"331",IF(AND(OR(L490="131",M490="131"),H490='131-CT'!$E$7),"131",""))</f>
        <v/>
      </c>
      <c r="O490" s="857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1"/>
      <c r="AC490" s="557"/>
      <c r="AD490" s="557"/>
    </row>
    <row r="491" spans="1:33" s="211" customFormat="1" ht="15.75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66" t="s">
        <v>24</v>
      </c>
      <c r="N491" s="52" t="str">
        <f>IF(AND('331-CT'!$E$7=TH!H491,OR(L491="331",M491="331")),"331",IF(AND(OR(L491="131",M491="131"),H491='131-CT'!$E$7),"131",""))</f>
        <v/>
      </c>
      <c r="O491" s="857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1"/>
      <c r="AC491" s="557"/>
    </row>
    <row r="492" spans="1:33" s="211" customFormat="1" ht="15.75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66" t="s">
        <v>24</v>
      </c>
      <c r="N492" s="52" t="str">
        <f>IF(AND('331-CT'!$E$7=TH!H492,OR(L492="331",M492="331")),"331",IF(AND(OR(L492="131",M492="131"),H492='131-CT'!$E$7),"131",""))</f>
        <v/>
      </c>
      <c r="O492" s="857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1"/>
      <c r="AC492" s="557"/>
      <c r="AD492" s="557"/>
    </row>
    <row r="493" spans="1:33" s="211" customFormat="1" ht="15.75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66" t="s">
        <v>24</v>
      </c>
      <c r="N493" s="52" t="str">
        <f>IF(AND('331-CT'!$E$7=TH!H493,OR(L493="331",M493="331")),"331",IF(AND(OR(L493="131",M493="131"),H493='131-CT'!$E$7),"131",""))</f>
        <v/>
      </c>
      <c r="O493" s="857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1"/>
      <c r="AC493" s="557"/>
      <c r="AD493" s="557"/>
    </row>
    <row r="494" spans="1:33" s="211" customFormat="1" ht="15.75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1224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66" t="s">
        <v>8</v>
      </c>
      <c r="N494" s="52" t="str">
        <f>IF(AND('331-CT'!$E$7=TH!H494,OR(L494="331",M494="331")),"331",IF(AND(OR(L494="131",M494="131"),H494='131-CT'!$E$7),"131",""))</f>
        <v/>
      </c>
      <c r="O494" s="857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1">
        <v>1</v>
      </c>
      <c r="AC494" s="557"/>
      <c r="AD494" s="211" t="str">
        <f>IF(VLOOKUP(H494,DSKH,1,0)=H494,"","x")</f>
        <v/>
      </c>
    </row>
    <row r="495" spans="1:33" s="211" customFormat="1" ht="15.75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1224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66" t="s">
        <v>8</v>
      </c>
      <c r="N495" s="52" t="str">
        <f>IF(AND('331-CT'!$E$7=TH!H495,OR(L495="331",M495="331")),"331",IF(AND(OR(L495="131",M495="131"),H495='131-CT'!$E$7),"131",""))</f>
        <v/>
      </c>
      <c r="O495" s="857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1">
        <v>1</v>
      </c>
      <c r="AC495" s="557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66" t="s">
        <v>47</v>
      </c>
      <c r="N496" s="52" t="str">
        <f>IF(AND('331-CT'!$E$7=TH!H496,OR(L496="331",M496="331")),"331",IF(AND(OR(L496="131",M496="131"),H496='131-CT'!$E$7),"131",""))</f>
        <v/>
      </c>
      <c r="O496" s="857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1"/>
      <c r="AC496" s="557"/>
      <c r="AD496" s="211" t="str">
        <f>IF(VLOOKUP(H496,DSKH,1,0)=H496,"","x")</f>
        <v/>
      </c>
    </row>
    <row r="497" spans="1:33" s="211" customFormat="1" ht="15.75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1185</v>
      </c>
      <c r="E497" s="191">
        <v>42439</v>
      </c>
      <c r="F497" s="192" t="s">
        <v>979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57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1"/>
      <c r="AC497" s="557" t="str">
        <f>IF(VLOOKUP(F497,NXT!$C$35:$C$411,1,0)=F497,"","x")</f>
        <v/>
      </c>
      <c r="AD497" s="557"/>
    </row>
    <row r="498" spans="1:33" s="211" customFormat="1" ht="15.75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1185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57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1"/>
      <c r="AC498" s="557" t="str">
        <f>IF(VLOOKUP(F498,NXT!$C$35:$C$411,1,0)=F498,"","x")</f>
        <v/>
      </c>
      <c r="AD498" s="557"/>
    </row>
    <row r="499" spans="1:33" s="211" customFormat="1" ht="15.75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1185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65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57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1"/>
      <c r="AC499" s="557" t="str">
        <f>IF(VLOOKUP(H499,DS_131,1,0)=H499,"","x")</f>
        <v/>
      </c>
      <c r="AD499" s="557"/>
    </row>
    <row r="500" spans="1:33" s="211" customFormat="1" ht="15.75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66" t="s">
        <v>24</v>
      </c>
      <c r="M500" s="566" t="s">
        <v>259</v>
      </c>
      <c r="N500" s="52" t="str">
        <f>IF(AND('331-CT'!$E$7=TH!H500,OR(L500="331",M500="331")),"331",IF(AND(OR(L500="131",M500="131"),H500='131-CT'!$E$7),"131",""))</f>
        <v/>
      </c>
      <c r="O500" s="857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1"/>
      <c r="AC500" s="557" t="str">
        <f>IF(VLOOKUP(H500,DS_131,1,0)=H500,"","x")</f>
        <v/>
      </c>
      <c r="AD500" s="557"/>
      <c r="AE500" s="557"/>
      <c r="AF500" s="557"/>
      <c r="AG500" s="557"/>
    </row>
    <row r="501" spans="1:33" s="211" customFormat="1" ht="15.75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66" t="s">
        <v>24</v>
      </c>
      <c r="M501" s="566" t="s">
        <v>259</v>
      </c>
      <c r="N501" s="52" t="str">
        <f>IF(AND('331-CT'!$E$7=TH!H501,OR(L501="331",M501="331")),"331",IF(AND(OR(L501="131",M501="131"),H501='131-CT'!$E$7),"131",""))</f>
        <v/>
      </c>
      <c r="O501" s="857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1"/>
      <c r="AC501" s="557" t="str">
        <f>IF(VLOOKUP(H501,DS_131,1,0)=H501,"","x")</f>
        <v/>
      </c>
      <c r="AD501" s="557"/>
      <c r="AF501" s="557"/>
      <c r="AG501" s="557"/>
    </row>
    <row r="502" spans="1:33" s="211" customFormat="1" ht="15.75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1225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66" t="s">
        <v>8</v>
      </c>
      <c r="N502" s="52" t="str">
        <f>IF(AND('331-CT'!$E$7=TH!H502,OR(L502="331",M502="331")),"331",IF(AND(OR(L502="131",M502="131"),H502='131-CT'!$E$7),"131",""))</f>
        <v/>
      </c>
      <c r="O502" s="857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1">
        <v>1</v>
      </c>
      <c r="AC502" s="557"/>
      <c r="AD502" s="211" t="str">
        <f>IF(VLOOKUP(H502,DSKH,1,0)=H502,"","x")</f>
        <v/>
      </c>
      <c r="AF502" s="557"/>
      <c r="AG502" s="557"/>
    </row>
    <row r="503" spans="1:33" s="211" customFormat="1" ht="15.75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1225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66" t="s">
        <v>8</v>
      </c>
      <c r="N503" s="52" t="str">
        <f>IF(AND('331-CT'!$E$7=TH!H503,OR(L503="331",M503="331")),"331",IF(AND(OR(L503="131",M503="131"),H503='131-CT'!$E$7),"131",""))</f>
        <v/>
      </c>
      <c r="O503" s="857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1">
        <v>1</v>
      </c>
      <c r="AC503" s="557"/>
      <c r="AD503" s="211" t="str">
        <f>IF(VLOOKUP(H503,DSKH,1,0)=H503,"","x")</f>
        <v/>
      </c>
      <c r="AF503" s="557"/>
      <c r="AG503" s="557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66" t="s">
        <v>47</v>
      </c>
      <c r="N504" s="52" t="str">
        <f>IF(AND('331-CT'!$E$7=TH!H504,OR(L504="331",M504="331")),"331",IF(AND(OR(L504="131",M504="131"),H504='131-CT'!$E$7),"131",""))</f>
        <v/>
      </c>
      <c r="O504" s="857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1"/>
      <c r="AC504" s="557"/>
      <c r="AD504" s="211" t="str">
        <f>IF(VLOOKUP(H504,DSKH,1,0)=H504,"","x")</f>
        <v/>
      </c>
      <c r="AF504" s="557"/>
      <c r="AG504" s="557"/>
    </row>
    <row r="505" spans="1:33" s="211" customFormat="1" ht="15.75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1186</v>
      </c>
      <c r="E505" s="191">
        <v>42440</v>
      </c>
      <c r="F505" s="192" t="s">
        <v>980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57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1"/>
      <c r="AC505" s="557" t="str">
        <f>IF(VLOOKUP(F505,NXT!$C$35:$C$411,1,0)=F505,"","x")</f>
        <v/>
      </c>
    </row>
    <row r="506" spans="1:33" s="211" customFormat="1" ht="15.75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1186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65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57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1"/>
      <c r="AC506" s="557" t="str">
        <f>IF(VLOOKUP(H506,DS_131,1,0)=H506,"","x")</f>
        <v/>
      </c>
      <c r="AD506" s="557"/>
    </row>
    <row r="507" spans="1:33" s="211" customFormat="1" ht="15.75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1187</v>
      </c>
      <c r="E507" s="191">
        <v>42440</v>
      </c>
      <c r="F507" s="192" t="s">
        <v>1232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57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1"/>
      <c r="AC507" s="557" t="str">
        <f>IF(VLOOKUP(F507,NXT!$C$35:$C$411,1,0)=F507,"","x")</f>
        <v/>
      </c>
    </row>
    <row r="508" spans="1:33" s="211" customFormat="1" ht="15.75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1187</v>
      </c>
      <c r="E508" s="191">
        <v>42440</v>
      </c>
      <c r="F508" s="192" t="s">
        <v>981</v>
      </c>
      <c r="G508" s="456" t="s">
        <v>491</v>
      </c>
      <c r="H508" s="193" t="s">
        <v>639</v>
      </c>
      <c r="I508" s="256"/>
      <c r="J508" s="256"/>
      <c r="K508" s="565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57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1"/>
      <c r="AC508" s="557" t="str">
        <f>IF(VLOOKUP(H508,DS_131,1,0)=H508,"","x")</f>
        <v/>
      </c>
      <c r="AD508" s="557"/>
    </row>
    <row r="509" spans="1:33" s="211" customFormat="1" ht="15.75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66" t="s">
        <v>24</v>
      </c>
      <c r="N509" s="52" t="str">
        <f>IF(AND('331-CT'!$E$7=TH!H509,OR(L509="331",M509="331")),"331",IF(AND(OR(L509="131",M509="131"),H509='131-CT'!$E$7),"131",""))</f>
        <v/>
      </c>
      <c r="O509" s="857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1"/>
      <c r="AC509" s="557"/>
      <c r="AD509" s="557"/>
      <c r="AE509" s="557"/>
    </row>
    <row r="510" spans="1:33" s="211" customFormat="1" ht="15.75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1226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66" t="s">
        <v>8</v>
      </c>
      <c r="N510" s="52" t="str">
        <f>IF(AND('331-CT'!$E$7=TH!H510,OR(L510="331",M510="331")),"331",IF(AND(OR(L510="131",M510="131"),H510='131-CT'!$E$7),"131",""))</f>
        <v/>
      </c>
      <c r="O510" s="857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1">
        <v>1</v>
      </c>
      <c r="AC510" s="557"/>
      <c r="AD510" s="211" t="str">
        <f>IF(VLOOKUP(H510,DSKH,1,0)=H510,"","x")</f>
        <v/>
      </c>
      <c r="AF510" s="557"/>
      <c r="AG510" s="557"/>
    </row>
    <row r="511" spans="1:33" s="211" customFormat="1" ht="15.75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1226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66" t="s">
        <v>8</v>
      </c>
      <c r="N511" s="52" t="str">
        <f>IF(AND('331-CT'!$E$7=TH!H511,OR(L511="331",M511="331")),"331",IF(AND(OR(L511="131",M511="131"),H511='131-CT'!$E$7),"131",""))</f>
        <v/>
      </c>
      <c r="O511" s="857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1">
        <v>1</v>
      </c>
      <c r="AC511" s="557"/>
      <c r="AD511" s="211" t="str">
        <f>IF(VLOOKUP(H511,DSKH,1,0)=H511,"","x")</f>
        <v/>
      </c>
      <c r="AF511" s="557"/>
      <c r="AG511" s="557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66" t="s">
        <v>47</v>
      </c>
      <c r="N512" s="52" t="str">
        <f>IF(AND('331-CT'!$E$7=TH!H512,OR(L512="331",M512="331")),"331",IF(AND(OR(L512="131",M512="131"),H512='131-CT'!$E$7),"131",""))</f>
        <v/>
      </c>
      <c r="O512" s="857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1"/>
      <c r="AC512" s="557"/>
      <c r="AD512" s="211" t="str">
        <f>IF(VLOOKUP(H512,DSKH,1,0)=H512,"","x")</f>
        <v/>
      </c>
      <c r="AF512" s="557"/>
      <c r="AG512" s="557"/>
    </row>
    <row r="513" spans="1:33" s="211" customFormat="1" ht="15.75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1188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57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1"/>
      <c r="AC513" s="557" t="str">
        <f>IF(VLOOKUP(F513,NXT!$C$35:$C$411,1,0)=F513,"","x")</f>
        <v/>
      </c>
    </row>
    <row r="514" spans="1:33" s="211" customFormat="1" ht="15.75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1188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57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1"/>
      <c r="AC514" s="557" t="str">
        <f>IF(VLOOKUP(F514,NXT!$C$35:$C$411,1,0)=F514,"","x")</f>
        <v/>
      </c>
      <c r="AD514" s="557"/>
    </row>
    <row r="515" spans="1:33" s="211" customFormat="1" ht="15.75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1188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65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57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1"/>
      <c r="AC515" s="557" t="str">
        <f>IF(VLOOKUP(H515,DS_131,1,0)=H515,"","x")</f>
        <v/>
      </c>
    </row>
    <row r="516" spans="1:33" s="211" customFormat="1" ht="15.75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1189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57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1"/>
      <c r="AC516" s="557" t="str">
        <f>IF(VLOOKUP(F516,NXT!$C$35:$C$411,1,0)=F516,"","x")</f>
        <v/>
      </c>
      <c r="AD516" s="557"/>
    </row>
    <row r="517" spans="1:33" s="211" customFormat="1" ht="15.75" customHeight="1">
      <c r="A517" s="204" t="str">
        <f>IF(B517&lt;&gt;"",IF(AND(B517&gt;=_TM1,B517&lt;=_TM2,OR(TH!L1072="1111",TH!M1072="1111")),TH!D1072,""),"")</f>
        <v/>
      </c>
      <c r="B517" s="818">
        <f t="shared" si="28"/>
        <v>3</v>
      </c>
      <c r="C517" s="819">
        <f t="shared" si="29"/>
        <v>42441</v>
      </c>
      <c r="D517" s="191" t="s">
        <v>1189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57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1"/>
      <c r="AC517" s="557" t="str">
        <f>IF(VLOOKUP(F517,NXT!$C$35:$C$411,1,0)=F517,"","x")</f>
        <v/>
      </c>
      <c r="AD517" s="827"/>
      <c r="AE517" s="827">
        <v>644700</v>
      </c>
      <c r="AF517" s="827"/>
      <c r="AG517" s="827"/>
    </row>
    <row r="518" spans="1:33" s="211" customFormat="1" ht="15.75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1189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65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57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1"/>
      <c r="AC518" s="557" t="str">
        <f>IF(VLOOKUP(H518,DS_131,1,0)=H518,"","x")</f>
        <v/>
      </c>
      <c r="AD518" s="557"/>
    </row>
    <row r="519" spans="1:33" s="211" customFormat="1" ht="15.75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1190</v>
      </c>
      <c r="E519" s="191">
        <v>42441</v>
      </c>
      <c r="F519" s="192" t="s">
        <v>982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57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1"/>
      <c r="AC519" s="557" t="str">
        <f>IF(VLOOKUP(F519,NXT!$C$35:$C$411,1,0)=F519,"","x")</f>
        <v/>
      </c>
    </row>
    <row r="520" spans="1:33" s="211" customFormat="1" ht="15.75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1190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65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57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1"/>
      <c r="AC520" s="557" t="str">
        <f>IF(VLOOKUP(H520,DS_131,1,0)=H520,"","x")</f>
        <v/>
      </c>
      <c r="AD520" s="557"/>
    </row>
    <row r="521" spans="1:33" s="211" customFormat="1" ht="15.75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1191</v>
      </c>
      <c r="E521" s="191">
        <v>42441</v>
      </c>
      <c r="F521" s="192" t="s">
        <v>983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57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1"/>
      <c r="AC521" s="557" t="str">
        <f>IF(VLOOKUP(F521,NXT!$C$35:$C$411,1,0)=F521,"","x")</f>
        <v/>
      </c>
    </row>
    <row r="522" spans="1:33" s="211" customFormat="1" ht="15.75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1191</v>
      </c>
      <c r="E522" s="191">
        <v>42441</v>
      </c>
      <c r="F522" s="192" t="s">
        <v>984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57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1"/>
      <c r="AC522" s="557" t="str">
        <f>IF(VLOOKUP(F522,NXT!$C$35:$C$411,1,0)=F522,"","x")</f>
        <v/>
      </c>
      <c r="AD522" s="557"/>
    </row>
    <row r="523" spans="1:33" s="211" customFormat="1" ht="15.75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1191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65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57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1"/>
      <c r="AC523" s="557" t="str">
        <f>IF(VLOOKUP(H523,DS_131,1,0)=H523,"","x")</f>
        <v/>
      </c>
    </row>
    <row r="524" spans="1:33" s="211" customFormat="1" ht="15.75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1227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66" t="s">
        <v>8</v>
      </c>
      <c r="N524" s="52" t="str">
        <f>IF(AND('331-CT'!$E$7=TH!H524,OR(L524="331",M524="331")),"331",IF(AND(OR(L524="131",M524="131"),H524='131-CT'!$E$7),"131",""))</f>
        <v/>
      </c>
      <c r="O524" s="857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1">
        <v>1</v>
      </c>
      <c r="AC524" s="557"/>
      <c r="AD524" s="211" t="str">
        <f t="shared" ref="AD524:AD529" si="30">IF(VLOOKUP(H524,DSKH,1,0)=H524,"","x")</f>
        <v/>
      </c>
      <c r="AF524" s="557"/>
      <c r="AG524" s="557"/>
    </row>
    <row r="525" spans="1:33" s="211" customFormat="1" ht="15.75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1227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66" t="s">
        <v>8</v>
      </c>
      <c r="N525" s="52" t="str">
        <f>IF(AND('331-CT'!$E$7=TH!H525,OR(L525="331",M525="331")),"331",IF(AND(OR(L525="131",M525="131"),H525='131-CT'!$E$7),"131",""))</f>
        <v/>
      </c>
      <c r="O525" s="857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1">
        <v>1</v>
      </c>
      <c r="AC525" s="557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66" t="s">
        <v>47</v>
      </c>
      <c r="N526" s="52" t="str">
        <f>IF(AND('331-CT'!$E$7=TH!H526,OR(L526="331",M526="331")),"331",IF(AND(OR(L526="131",M526="131"),H526='131-CT'!$E$7),"131",""))</f>
        <v/>
      </c>
      <c r="O526" s="857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1"/>
      <c r="AC526" s="557"/>
      <c r="AD526" s="211" t="str">
        <f t="shared" si="30"/>
        <v/>
      </c>
    </row>
    <row r="527" spans="1:33" s="211" customFormat="1" ht="15.75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1228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66" t="s">
        <v>8</v>
      </c>
      <c r="N527" s="52" t="str">
        <f>IF(AND('331-CT'!$E$7=TH!H527,OR(L527="331",M527="331")),"331",IF(AND(OR(L527="131",M527="131"),H527='131-CT'!$E$7),"131",""))</f>
        <v/>
      </c>
      <c r="O527" s="857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1">
        <v>1</v>
      </c>
      <c r="AC527" s="557"/>
      <c r="AD527" s="211" t="str">
        <f t="shared" si="30"/>
        <v/>
      </c>
    </row>
    <row r="528" spans="1:33" s="211" customFormat="1" ht="15.75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1228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66" t="s">
        <v>8</v>
      </c>
      <c r="N528" s="52" t="str">
        <f>IF(AND('331-CT'!$E$7=TH!H528,OR(L528="331",M528="331")),"331",IF(AND(OR(L528="131",M528="131"),H528='131-CT'!$E$7),"131",""))</f>
        <v/>
      </c>
      <c r="O528" s="857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1">
        <v>1</v>
      </c>
      <c r="AC528" s="557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66" t="s">
        <v>47</v>
      </c>
      <c r="N529" s="52" t="str">
        <f>IF(AND('331-CT'!$E$7=TH!H529,OR(L529="331",M529="331")),"331",IF(AND(OR(L529="131",M529="131"),H529='131-CT'!$E$7),"131",""))</f>
        <v/>
      </c>
      <c r="O529" s="857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1"/>
      <c r="AC529" s="557"/>
      <c r="AD529" s="211" t="str">
        <f t="shared" si="30"/>
        <v/>
      </c>
    </row>
    <row r="530" spans="1:33" s="211" customFormat="1" ht="15.75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66" t="s">
        <v>24</v>
      </c>
      <c r="M530" s="566" t="s">
        <v>259</v>
      </c>
      <c r="N530" s="52" t="str">
        <f>IF(AND('331-CT'!$E$7=TH!H530,OR(L530="331",M530="331")),"331",IF(AND(OR(L530="131",M530="131"),H530='131-CT'!$E$7),"131",""))</f>
        <v/>
      </c>
      <c r="O530" s="857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1"/>
      <c r="AC530" s="557" t="str">
        <f>IF(VLOOKUP(H530,DS_131,1,0)=H530,"","x")</f>
        <v/>
      </c>
      <c r="AF530" s="557"/>
      <c r="AG530" s="557"/>
    </row>
    <row r="531" spans="1:33" s="211" customFormat="1" ht="15.75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1229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66" t="s">
        <v>8</v>
      </c>
      <c r="N531" s="52" t="str">
        <f>IF(AND('331-CT'!$E$7=TH!H531,OR(L531="331",M531="331")),"331",IF(AND(OR(L531="131",M531="131"),H531='131-CT'!$E$7),"131",""))</f>
        <v/>
      </c>
      <c r="O531" s="857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1">
        <v>1</v>
      </c>
      <c r="AC531" s="557"/>
      <c r="AD531" s="211" t="str">
        <f>IF(VLOOKUP(H531,DSKH,1,0)=H531,"","x")</f>
        <v/>
      </c>
    </row>
    <row r="532" spans="1:33" s="211" customFormat="1" ht="15.75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1229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66" t="s">
        <v>8</v>
      </c>
      <c r="N532" s="52" t="str">
        <f>IF(AND('331-CT'!$E$7=TH!H532,OR(L532="331",M532="331")),"331",IF(AND(OR(L532="131",M532="131"),H532='131-CT'!$E$7),"131",""))</f>
        <v/>
      </c>
      <c r="O532" s="857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1">
        <v>1</v>
      </c>
      <c r="AC532" s="557"/>
      <c r="AD532" s="211" t="str">
        <f>IF(VLOOKUP(H532,DSKH,1,0)=H532,"","x")</f>
        <v/>
      </c>
      <c r="AF532" s="557"/>
      <c r="AG532" s="557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66" t="s">
        <v>47</v>
      </c>
      <c r="N533" s="52" t="str">
        <f>IF(AND('331-CT'!$E$7=TH!H533,OR(L533="331",M533="331")),"331",IF(AND(OR(L533="131",M533="131"),H533='131-CT'!$E$7),"131",""))</f>
        <v/>
      </c>
      <c r="O533" s="857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1"/>
      <c r="AC533" s="557"/>
      <c r="AD533" s="211" t="str">
        <f>IF(VLOOKUP(H533,DSKH,1,0)=H533,"","x")</f>
        <v/>
      </c>
      <c r="AF533" s="557"/>
      <c r="AG533" s="557"/>
    </row>
    <row r="534" spans="1:33" s="211" customFormat="1" ht="15.75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1192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57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1"/>
      <c r="AC534" s="557" t="str">
        <f>IF(VLOOKUP(F534,NXT!$C$35:$C$411,1,0)=F534,"","x")</f>
        <v/>
      </c>
      <c r="AD534" s="557"/>
    </row>
    <row r="535" spans="1:33" s="211" customFormat="1" ht="15.75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1192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65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57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1"/>
      <c r="AC535" s="557" t="str">
        <f>IF(VLOOKUP(H535,DS_131,1,0)=H535,"","x")</f>
        <v/>
      </c>
    </row>
    <row r="536" spans="1:33" s="211" customFormat="1" ht="15.75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1193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57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1"/>
      <c r="AC536" s="557" t="str">
        <f>IF(VLOOKUP(F536,NXT!$C$35:$C$411,1,0)=F536,"","x")</f>
        <v/>
      </c>
      <c r="AD536" s="557"/>
    </row>
    <row r="537" spans="1:33" s="211" customFormat="1" ht="15.75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1193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57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1"/>
      <c r="AC537" s="557" t="str">
        <f>IF(VLOOKUP(F537,NXT!$C$35:$C$411,1,0)=F537,"","x")</f>
        <v/>
      </c>
    </row>
    <row r="538" spans="1:33" s="211" customFormat="1" ht="15.75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1193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65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57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1"/>
      <c r="AC538" s="557" t="str">
        <f>IF(VLOOKUP(H538,DS_131,1,0)=H538,"","x")</f>
        <v/>
      </c>
      <c r="AD538" s="557"/>
    </row>
    <row r="539" spans="1:33" s="211" customFormat="1" ht="15.75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1194</v>
      </c>
      <c r="E539" s="191">
        <v>42448</v>
      </c>
      <c r="F539" s="189" t="s">
        <v>985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57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1"/>
      <c r="AC539" s="557" t="str">
        <f>IF(VLOOKUP(F539,NXT!$C$35:$C$411,1,0)=F539,"","x")</f>
        <v/>
      </c>
    </row>
    <row r="540" spans="1:33" s="211" customFormat="1" ht="15.75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1194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57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1"/>
      <c r="AC540" s="557" t="str">
        <f>IF(VLOOKUP(F540,NXT!$C$35:$C$411,1,0)=F540,"","x")</f>
        <v/>
      </c>
      <c r="AD540" s="557"/>
    </row>
    <row r="541" spans="1:33" s="211" customFormat="1" ht="15.75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1194</v>
      </c>
      <c r="E541" s="184">
        <v>42448</v>
      </c>
      <c r="F541" s="189" t="s">
        <v>423</v>
      </c>
      <c r="G541" s="567" t="s">
        <v>498</v>
      </c>
      <c r="H541" s="193" t="s">
        <v>429</v>
      </c>
      <c r="I541" s="256"/>
      <c r="J541" s="256"/>
      <c r="K541" s="565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57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1"/>
      <c r="AC541" s="557" t="str">
        <f>IF(VLOOKUP(H541,DS_131,1,0)=H541,"","x")</f>
        <v/>
      </c>
    </row>
    <row r="542" spans="1:33" s="211" customFormat="1" ht="15.75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65">
        <v>96500000</v>
      </c>
      <c r="L542" s="566" t="s">
        <v>24</v>
      </c>
      <c r="M542" s="566" t="s">
        <v>47</v>
      </c>
      <c r="N542" s="52" t="str">
        <f>IF(AND('331-CT'!$E$7=TH!H542,OR(L542="331",M542="331")),"331",IF(AND(OR(L542="131",M542="131"),H542='131-CT'!$E$7),"131",""))</f>
        <v/>
      </c>
      <c r="O542" s="857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1"/>
      <c r="AC542" s="557"/>
      <c r="AD542" s="557"/>
      <c r="AE542" s="557"/>
    </row>
    <row r="543" spans="1:33" s="211" customFormat="1" ht="15.75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66" t="s">
        <v>786</v>
      </c>
      <c r="M543" s="566" t="s">
        <v>24</v>
      </c>
      <c r="N543" s="52" t="str">
        <f>IF(AND('331-CT'!$E$7=TH!H543,OR(L543="331",M543="331")),"331",IF(AND(OR(L543="131",M543="131"),H543='131-CT'!$E$7),"131",""))</f>
        <v/>
      </c>
      <c r="O543" s="857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1"/>
      <c r="AC543" s="557"/>
      <c r="AD543" s="557"/>
      <c r="AE543" s="557"/>
      <c r="AF543" s="557"/>
      <c r="AG543" s="557"/>
    </row>
    <row r="544" spans="1:33" s="211" customFormat="1" ht="15.75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65">
        <v>10906176</v>
      </c>
      <c r="L544" s="566" t="s">
        <v>81</v>
      </c>
      <c r="M544" s="566" t="s">
        <v>24</v>
      </c>
      <c r="N544" s="52" t="str">
        <f>IF(AND('331-CT'!$E$7=TH!H544,OR(L544="331",M544="331")),"331",IF(AND(OR(L544="131",M544="131"),H544='131-CT'!$E$7),"131",""))</f>
        <v/>
      </c>
      <c r="O544" s="857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1"/>
      <c r="AC544" s="557"/>
      <c r="AD544" s="557"/>
      <c r="AE544" s="557"/>
      <c r="AF544" s="557"/>
      <c r="AG544" s="557"/>
    </row>
    <row r="545" spans="1:33" s="211" customFormat="1" ht="15.75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65">
        <v>2158095</v>
      </c>
      <c r="L545" s="566" t="s">
        <v>81</v>
      </c>
      <c r="M545" s="566" t="s">
        <v>24</v>
      </c>
      <c r="N545" s="52" t="str">
        <f>IF(AND('331-CT'!$E$7=TH!H545,OR(L545="331",M545="331")),"331",IF(AND(OR(L545="131",M545="131"),H545='131-CT'!$E$7),"131",""))</f>
        <v/>
      </c>
      <c r="O545" s="857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1"/>
      <c r="AC545" s="557"/>
      <c r="AD545" s="557"/>
      <c r="AE545" s="557"/>
      <c r="AF545" s="557"/>
      <c r="AG545" s="557"/>
    </row>
    <row r="546" spans="1:33" s="211" customFormat="1" ht="15.75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66" t="s">
        <v>24</v>
      </c>
      <c r="M546" s="566" t="s">
        <v>259</v>
      </c>
      <c r="N546" s="52" t="str">
        <f>IF(AND('331-CT'!$E$7=TH!H546,OR(L546="331",M546="331")),"331",IF(AND(OR(L546="131",M546="131"),H546='131-CT'!$E$7),"131",""))</f>
        <v/>
      </c>
      <c r="O546" s="857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1"/>
      <c r="AC546" s="557" t="str">
        <f>IF(VLOOKUP(H546,DS_131,1,0)=H546,"","x")</f>
        <v/>
      </c>
      <c r="AD546" s="557"/>
      <c r="AF546" s="557"/>
      <c r="AG546" s="557"/>
    </row>
    <row r="547" spans="1:33" s="211" customFormat="1" ht="15.75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66" t="s">
        <v>24</v>
      </c>
      <c r="N547" s="52" t="str">
        <f>IF(AND('331-CT'!$E$7=TH!H547,OR(L547="331",M547="331")),"331",IF(AND(OR(L547="131",M547="131"),H547='131-CT'!$E$7),"131",""))</f>
        <v/>
      </c>
      <c r="O547" s="857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1"/>
      <c r="AC547" s="557"/>
      <c r="AD547" s="557"/>
      <c r="AE547" s="557"/>
    </row>
    <row r="548" spans="1:33" s="211" customFormat="1" ht="15.75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66" t="s">
        <v>24</v>
      </c>
      <c r="N548" s="52" t="str">
        <f>IF(AND('331-CT'!$E$7=TH!H548,OR(L548="331",M548="331")),"331",IF(AND(OR(L548="131",M548="131"),H548='131-CT'!$E$7),"131",""))</f>
        <v/>
      </c>
      <c r="O548" s="857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1"/>
      <c r="AC548" s="557"/>
      <c r="AD548" s="557"/>
      <c r="AE548" s="557"/>
    </row>
    <row r="549" spans="1:33" s="211" customFormat="1" ht="15.75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57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1"/>
      <c r="AC549" s="557"/>
      <c r="AF549" s="557"/>
      <c r="AG549" s="557"/>
    </row>
    <row r="550" spans="1:33" s="211" customFormat="1" ht="15.75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1195</v>
      </c>
      <c r="E550" s="191">
        <v>42450</v>
      </c>
      <c r="F550" s="192" t="s">
        <v>986</v>
      </c>
      <c r="G550" s="456" t="s">
        <v>499</v>
      </c>
      <c r="H550" s="749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57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1"/>
      <c r="AC550" s="557" t="str">
        <f>IF(VLOOKUP(F550,NXT!$C$35:$C$411,1,0)=F550,"","x")</f>
        <v/>
      </c>
      <c r="AD550" s="557"/>
    </row>
    <row r="551" spans="1:33" s="211" customFormat="1" ht="15.75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1195</v>
      </c>
      <c r="E551" s="191">
        <v>42450</v>
      </c>
      <c r="F551" s="192" t="s">
        <v>423</v>
      </c>
      <c r="G551" s="456" t="s">
        <v>499</v>
      </c>
      <c r="H551" s="749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57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1"/>
      <c r="AC551" s="557" t="str">
        <f>IF(VLOOKUP(H551,DS_131,1,0)=H551,"","x")</f>
        <v/>
      </c>
    </row>
    <row r="552" spans="1:33" s="211" customFormat="1" ht="15.75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1196</v>
      </c>
      <c r="E552" s="184">
        <v>42450</v>
      </c>
      <c r="F552" s="189" t="s">
        <v>670</v>
      </c>
      <c r="G552" s="567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57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1"/>
      <c r="AC552" s="557" t="str">
        <f>IF(VLOOKUP(F552,NXT!$C$35:$C$411,1,0)=F552,"","x")</f>
        <v/>
      </c>
      <c r="AD552" s="557"/>
    </row>
    <row r="553" spans="1:33" s="211" customFormat="1" ht="15.75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1196</v>
      </c>
      <c r="E553" s="184">
        <v>42450</v>
      </c>
      <c r="F553" s="189" t="s">
        <v>423</v>
      </c>
      <c r="G553" s="567" t="s">
        <v>500</v>
      </c>
      <c r="H553" s="7" t="s">
        <v>819</v>
      </c>
      <c r="I553" s="256"/>
      <c r="J553" s="256"/>
      <c r="K553" s="565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57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1"/>
      <c r="AC553" s="557" t="str">
        <f>IF(VLOOKUP(H553,DS_131,1,0)=H553,"","x")</f>
        <v/>
      </c>
      <c r="AD553" s="557"/>
    </row>
    <row r="554" spans="1:33" s="211" customFormat="1" ht="15.75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1197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57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1"/>
      <c r="AC554" s="557" t="str">
        <f>IF(VLOOKUP(F554,NXT!$C$35:$C$411,1,0)=F554,"","x")</f>
        <v/>
      </c>
      <c r="AD554" s="557"/>
    </row>
    <row r="555" spans="1:33" s="211" customFormat="1" ht="15.75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1197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65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57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1"/>
      <c r="AC555" s="557" t="str">
        <f>IF(VLOOKUP(H555,DS_131,1,0)=H555,"","x")</f>
        <v/>
      </c>
      <c r="AD555" s="557"/>
    </row>
    <row r="556" spans="1:33" s="211" customFormat="1" ht="15.75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66" t="s">
        <v>24</v>
      </c>
      <c r="M556" s="566" t="s">
        <v>259</v>
      </c>
      <c r="N556" s="52" t="str">
        <f>IF(AND('331-CT'!$E$7=TH!H556,OR(L556="331",M556="331")),"331",IF(AND(OR(L556="131",M556="131"),H556='131-CT'!$E$7),"131",""))</f>
        <v/>
      </c>
      <c r="O556" s="857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1"/>
      <c r="AC556" s="557" t="str">
        <f>IF(VLOOKUP(H556,DS_131,1,0)=H556,"","x")</f>
        <v/>
      </c>
      <c r="AF556" s="557"/>
      <c r="AG556" s="557"/>
    </row>
    <row r="557" spans="1:33" s="211" customFormat="1" ht="15.75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66" t="s">
        <v>24</v>
      </c>
      <c r="N557" s="52" t="str">
        <f>IF(AND('331-CT'!$E$7=TH!H557,OR(L557="331",M557="331")),"331",IF(AND(OR(L557="131",M557="131"),H557='131-CT'!$E$7),"131",""))</f>
        <v/>
      </c>
      <c r="O557" s="857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1"/>
      <c r="AC557" s="557"/>
    </row>
    <row r="558" spans="1:33" s="211" customFormat="1" ht="15.75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57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1">
        <v>1</v>
      </c>
      <c r="AC558" s="557"/>
      <c r="AD558" s="557"/>
      <c r="AF558" s="557"/>
      <c r="AG558" s="557"/>
    </row>
    <row r="559" spans="1:33" s="211" customFormat="1" ht="15.75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57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1">
        <v>1</v>
      </c>
      <c r="AC559" s="557"/>
      <c r="AD559" s="557"/>
      <c r="AF559" s="557"/>
      <c r="AG559" s="557"/>
    </row>
    <row r="560" spans="1:33" s="211" customFormat="1" ht="15.75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1198</v>
      </c>
      <c r="E560" s="191">
        <v>42451</v>
      </c>
      <c r="F560" s="189" t="s">
        <v>987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57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1"/>
      <c r="AC560" s="557" t="str">
        <f>IF(VLOOKUP(F560,NXT!$C$35:$C$411,1,0)=F560,"","x")</f>
        <v/>
      </c>
      <c r="AD560" s="557"/>
    </row>
    <row r="561" spans="1:33" s="211" customFormat="1" ht="15.75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1198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65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57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1"/>
      <c r="AC561" s="557" t="str">
        <f>IF(VLOOKUP(H561,DS_131,1,0)=H561,"","x")</f>
        <v/>
      </c>
      <c r="AD561" s="557"/>
    </row>
    <row r="562" spans="1:33" s="211" customFormat="1" ht="15.75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65">
        <v>100000000</v>
      </c>
      <c r="L562" s="566" t="s">
        <v>24</v>
      </c>
      <c r="M562" s="566" t="s">
        <v>786</v>
      </c>
      <c r="N562" s="52" t="str">
        <f>IF(AND('331-CT'!$E$7=TH!H562,OR(L562="331",M562="331")),"331",IF(AND(OR(L562="131",M562="131"),H562='131-CT'!$E$7),"131",""))</f>
        <v/>
      </c>
      <c r="O562" s="857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1"/>
      <c r="AC562" s="557"/>
      <c r="AD562" s="557"/>
      <c r="AE562" s="557"/>
    </row>
    <row r="563" spans="1:33" s="211" customFormat="1" ht="15.75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65">
        <v>100000000</v>
      </c>
      <c r="L563" s="566" t="s">
        <v>47</v>
      </c>
      <c r="M563" s="566" t="s">
        <v>24</v>
      </c>
      <c r="N563" s="52" t="str">
        <f>IF(AND('331-CT'!$E$7=TH!H563,OR(L563="331",M563="331")),"331",IF(AND(OR(L563="131",M563="131"),H563='131-CT'!$E$7),"131",""))</f>
        <v/>
      </c>
      <c r="O563" s="857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1"/>
      <c r="AC563" s="557"/>
      <c r="AD563" s="557"/>
      <c r="AE563" s="557"/>
      <c r="AF563" s="557"/>
      <c r="AG563" s="557"/>
    </row>
    <row r="564" spans="1:33" s="211" customFormat="1" ht="15.75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66" t="s">
        <v>24</v>
      </c>
      <c r="M564" s="566" t="s">
        <v>259</v>
      </c>
      <c r="N564" s="52" t="str">
        <f>IF(AND('331-CT'!$E$7=TH!H564,OR(L564="331",M564="331")),"331",IF(AND(OR(L564="131",M564="131"),H564='131-CT'!$E$7),"131",""))</f>
        <v/>
      </c>
      <c r="O564" s="857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1"/>
      <c r="AC564" s="557" t="str">
        <f>IF(VLOOKUP(H564,DS_131,1,0)=H564,"","x")</f>
        <v/>
      </c>
      <c r="AD564" s="557"/>
      <c r="AF564" s="557"/>
      <c r="AG564" s="557"/>
    </row>
    <row r="565" spans="1:33" s="211" customFormat="1" ht="15.75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66" t="s">
        <v>24</v>
      </c>
      <c r="M565" s="566" t="s">
        <v>259</v>
      </c>
      <c r="N565" s="52" t="str">
        <f>IF(AND('331-CT'!$E$7=TH!H565,OR(L565="331",M565="331")),"331",IF(AND(OR(L565="131",M565="131"),H565='131-CT'!$E$7),"131",""))</f>
        <v/>
      </c>
      <c r="O565" s="857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1"/>
      <c r="AC565" s="557" t="str">
        <f>IF(VLOOKUP(H565,DS_131,1,0)=H565,"","x")</f>
        <v/>
      </c>
      <c r="AD565" s="557"/>
      <c r="AF565" s="557"/>
      <c r="AG565" s="557"/>
    </row>
    <row r="566" spans="1:33" s="211" customFormat="1" ht="15.75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66" t="s">
        <v>24</v>
      </c>
      <c r="M566" s="566" t="s">
        <v>259</v>
      </c>
      <c r="N566" s="52" t="str">
        <f>IF(AND('331-CT'!$E$7=TH!H566,OR(L566="331",M566="331")),"331",IF(AND(OR(L566="131",M566="131"),H566='131-CT'!$E$7),"131",""))</f>
        <v/>
      </c>
      <c r="O566" s="857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1"/>
      <c r="AC566" s="557" t="str">
        <f>IF(VLOOKUP(H566,DS_131,1,0)=H566,"","x")</f>
        <v/>
      </c>
      <c r="AF566" s="557"/>
      <c r="AG566" s="557"/>
    </row>
    <row r="567" spans="1:33" s="211" customFormat="1" ht="15.75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66" t="s">
        <v>24</v>
      </c>
      <c r="N567" s="52" t="str">
        <f>IF(AND('331-CT'!$E$7=TH!H567,OR(L567="331",M567="331")),"331",IF(AND(OR(L567="131",M567="131"),H567='131-CT'!$E$7),"131",""))</f>
        <v/>
      </c>
      <c r="O567" s="857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1"/>
      <c r="AC567" s="557"/>
      <c r="AD567" s="557"/>
    </row>
    <row r="568" spans="1:33" s="211" customFormat="1" ht="15.75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1199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57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1"/>
      <c r="AC568" s="557" t="str">
        <f>IF(VLOOKUP(F568,NXT!$C$35:$C$411,1,0)=F568,"","x")</f>
        <v/>
      </c>
      <c r="AD568" s="557"/>
    </row>
    <row r="569" spans="1:33" s="211" customFormat="1" ht="15.75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1199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57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1"/>
      <c r="AC569" s="557" t="str">
        <f>IF(VLOOKUP(H569,DS_131,1,0)=H569,"","x")</f>
        <v/>
      </c>
      <c r="AD569" s="557"/>
    </row>
    <row r="570" spans="1:33" s="211" customFormat="1" ht="15.75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1200</v>
      </c>
      <c r="E570" s="191">
        <v>42452</v>
      </c>
      <c r="F570" s="189" t="s">
        <v>988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57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1"/>
      <c r="AC570" s="557" t="str">
        <f>IF(VLOOKUP(F570,NXT!$C$35:$C$411,1,0)=F570,"","x")</f>
        <v/>
      </c>
      <c r="AD570" s="557"/>
    </row>
    <row r="571" spans="1:33" s="211" customFormat="1" ht="15.75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1200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65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57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1"/>
      <c r="AC571" s="557" t="str">
        <f>IF(VLOOKUP(H571,DS_131,1,0)=H571,"","x")</f>
        <v/>
      </c>
      <c r="AD571" s="557"/>
    </row>
    <row r="572" spans="1:33" s="211" customFormat="1" ht="15.75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1201</v>
      </c>
      <c r="E572" s="191">
        <v>42452</v>
      </c>
      <c r="F572" s="189" t="s">
        <v>989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57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1"/>
      <c r="AC572" s="557" t="str">
        <f>IF(VLOOKUP(F572,NXT!$C$35:$C$411,1,0)=F572,"","x")</f>
        <v/>
      </c>
    </row>
    <row r="573" spans="1:33" s="211" customFormat="1" ht="15.75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1201</v>
      </c>
      <c r="E573" s="191">
        <v>42452</v>
      </c>
      <c r="F573" s="189" t="s">
        <v>990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57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1"/>
      <c r="AC573" s="557" t="str">
        <f>IF(VLOOKUP(F573,NXT!$C$35:$C$411,1,0)=F573,"","x")</f>
        <v/>
      </c>
      <c r="AD573" s="557"/>
    </row>
    <row r="574" spans="1:33" s="211" customFormat="1" ht="15.75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1201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57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1"/>
      <c r="AC574" s="557" t="str">
        <f>IF(VLOOKUP(F574,NXT!$C$35:$C$411,1,0)=F574,"","x")</f>
        <v/>
      </c>
      <c r="AD574" s="557"/>
    </row>
    <row r="575" spans="1:33" s="211" customFormat="1" ht="15.75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1201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65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57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1"/>
      <c r="AC575" s="557" t="str">
        <f>IF(VLOOKUP(H575,DS_131,1,0)=H575,"","x")</f>
        <v/>
      </c>
    </row>
    <row r="576" spans="1:33" s="211" customFormat="1" ht="15.75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1202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57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1"/>
      <c r="AC576" s="557" t="str">
        <f>IF(VLOOKUP(F576,NXT!$C$35:$C$411,1,0)=F576,"","x")</f>
        <v/>
      </c>
      <c r="AD576" s="557"/>
    </row>
    <row r="577" spans="1:33" s="211" customFormat="1" ht="15.75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1202</v>
      </c>
      <c r="E577" s="191">
        <v>42452</v>
      </c>
      <c r="F577" s="189" t="s">
        <v>991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57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1"/>
      <c r="AC577" s="557" t="str">
        <f>IF(VLOOKUP(F577,NXT!$C$35:$C$411,1,0)=F577,"","x")</f>
        <v/>
      </c>
      <c r="AD577" s="557"/>
    </row>
    <row r="578" spans="1:33" s="211" customFormat="1" ht="15.75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1202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65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57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1"/>
      <c r="AC578" s="557" t="str">
        <f>IF(VLOOKUP(H578,DS_131,1,0)=H578,"","x")</f>
        <v/>
      </c>
      <c r="AD578" s="557"/>
    </row>
    <row r="579" spans="1:33" s="211" customFormat="1" ht="15.75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1203</v>
      </c>
      <c r="E579" s="191">
        <v>42452</v>
      </c>
      <c r="F579" s="192" t="s">
        <v>1466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57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1"/>
      <c r="AC579" s="557" t="str">
        <f>IF(VLOOKUP(F579,NXT!$C$35:$C$411,1,0)=F579,"","x")</f>
        <v/>
      </c>
      <c r="AD579" s="557"/>
    </row>
    <row r="580" spans="1:33" s="211" customFormat="1" ht="15.75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1203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57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1"/>
      <c r="AC580" s="557" t="str">
        <f>IF(VLOOKUP(H580,DS_131,1,0)=H580,"","x")</f>
        <v/>
      </c>
    </row>
    <row r="581" spans="1:33" s="211" customFormat="1" ht="15.75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1204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57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1"/>
      <c r="AC581" s="557" t="str">
        <f>IF(VLOOKUP(F581,NXT!$C$35:$C$411,1,0)=F581,"","x")</f>
        <v/>
      </c>
      <c r="AD581" s="557"/>
    </row>
    <row r="582" spans="1:33" s="211" customFormat="1" ht="15.75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1204</v>
      </c>
      <c r="E582" s="191">
        <v>42453</v>
      </c>
      <c r="F582" s="189" t="s">
        <v>926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57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1"/>
      <c r="AC582" s="557" t="str">
        <f>IF(VLOOKUP(F582,NXT!$C$35:$C$411,1,0)=F582,"","x")</f>
        <v/>
      </c>
      <c r="AD582" s="557"/>
    </row>
    <row r="583" spans="1:33" s="211" customFormat="1" ht="15.75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1204</v>
      </c>
      <c r="E583" s="191">
        <v>42453</v>
      </c>
      <c r="F583" s="189" t="s">
        <v>927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57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1"/>
      <c r="AC583" s="557" t="str">
        <f>IF(VLOOKUP(F583,NXT!$C$35:$C$411,1,0)=F583,"","x")</f>
        <v/>
      </c>
    </row>
    <row r="584" spans="1:33" s="211" customFormat="1" ht="15.75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1204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65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57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1"/>
      <c r="AC584" s="557" t="str">
        <f>IF(VLOOKUP(H584,DS_131,1,0)=H584,"","x")</f>
        <v/>
      </c>
      <c r="AD584" s="557"/>
    </row>
    <row r="585" spans="1:33" s="211" customFormat="1" ht="15.75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66" t="s">
        <v>24</v>
      </c>
      <c r="M585" s="566" t="s">
        <v>259</v>
      </c>
      <c r="N585" s="52" t="str">
        <f>IF(AND('331-CT'!$E$7=TH!H585,OR(L585="331",M585="331")),"331",IF(AND(OR(L585="131",M585="131"),H585='131-CT'!$E$7),"131",""))</f>
        <v/>
      </c>
      <c r="O585" s="857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1"/>
      <c r="AC585" s="557" t="str">
        <f>IF(VLOOKUP(H585,DS_131,1,0)=H585,"","x")</f>
        <v/>
      </c>
      <c r="AD585" s="557"/>
      <c r="AF585" s="557"/>
      <c r="AG585" s="557"/>
    </row>
    <row r="586" spans="1:33" s="211" customFormat="1" ht="15.75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66" t="s">
        <v>24</v>
      </c>
      <c r="M586" s="566" t="s">
        <v>40</v>
      </c>
      <c r="N586" s="52" t="str">
        <f>IF(AND('331-CT'!$E$7=TH!H586,OR(L586="331",M586="331")),"331",IF(AND(OR(L586="131",M586="131"),H586='131-CT'!$E$7),"131",""))</f>
        <v/>
      </c>
      <c r="O586" s="857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1"/>
      <c r="AC586" s="557"/>
      <c r="AD586" s="557"/>
      <c r="AF586" s="557"/>
      <c r="AG586" s="557"/>
    </row>
    <row r="587" spans="1:33" s="211" customFormat="1" ht="15.75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1205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57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1"/>
      <c r="AC587" s="557" t="str">
        <f>IF(VLOOKUP(F587,NXT!$C$35:$C$411,1,0)=F587,"","x")</f>
        <v/>
      </c>
    </row>
    <row r="588" spans="1:33" s="211" customFormat="1" ht="15.75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1205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57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1"/>
      <c r="AC588" s="557" t="str">
        <f>IF(VLOOKUP(H588,DS_131,1,0)=H588,"","x")</f>
        <v/>
      </c>
      <c r="AD588" s="557"/>
    </row>
    <row r="589" spans="1:33" s="211" customFormat="1" ht="15.75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1206</v>
      </c>
      <c r="E589" s="191">
        <v>42454</v>
      </c>
      <c r="F589" s="192" t="s">
        <v>466</v>
      </c>
      <c r="G589" s="456" t="s">
        <v>517</v>
      </c>
      <c r="H589" s="867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57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1"/>
      <c r="AC589" s="557" t="str">
        <f>IF(VLOOKUP(F589,NXT!$C$35:$C$411,1,0)=F589,"","x")</f>
        <v/>
      </c>
      <c r="AD589" s="557"/>
    </row>
    <row r="590" spans="1:33" s="211" customFormat="1" ht="15.75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1206</v>
      </c>
      <c r="E590" s="191">
        <v>42454</v>
      </c>
      <c r="F590" s="189" t="s">
        <v>423</v>
      </c>
      <c r="G590" s="456" t="s">
        <v>517</v>
      </c>
      <c r="H590" s="867" t="s">
        <v>595</v>
      </c>
      <c r="I590" s="256"/>
      <c r="J590" s="256"/>
      <c r="K590" s="565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57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1"/>
      <c r="AC590" s="557" t="str">
        <f>IF(VLOOKUP(H590,DS_131,1,0)=H590,"","x")</f>
        <v/>
      </c>
    </row>
    <row r="591" spans="1:33" s="211" customFormat="1" ht="15.75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1207</v>
      </c>
      <c r="E591" s="191">
        <v>42454</v>
      </c>
      <c r="F591" s="189" t="s">
        <v>992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57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1"/>
      <c r="AC591" s="557" t="str">
        <f>IF(VLOOKUP(F591,NXT!$C$35:$C$411,1,0)=F591,"","x")</f>
        <v/>
      </c>
      <c r="AD591" s="557"/>
    </row>
    <row r="592" spans="1:33" s="827" customFormat="1" ht="15.75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1207</v>
      </c>
      <c r="E592" s="191">
        <v>42454</v>
      </c>
      <c r="F592" s="192" t="s">
        <v>1232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57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1"/>
      <c r="AC592" s="557" t="str">
        <f>IF(VLOOKUP(F592,NXT!$C$35:$C$411,1,0)=F592,"","x")</f>
        <v/>
      </c>
      <c r="AD592" s="557"/>
      <c r="AE592" s="211"/>
      <c r="AF592" s="211"/>
      <c r="AG592" s="211"/>
    </row>
    <row r="593" spans="1:33" s="827" customFormat="1" ht="15.75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1207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57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1"/>
      <c r="AC593" s="557" t="str">
        <f>IF(VLOOKUP(H593,DS_131,1,0)=H593,"","x")</f>
        <v/>
      </c>
      <c r="AD593" s="211"/>
      <c r="AE593" s="211"/>
      <c r="AF593" s="211"/>
      <c r="AG593" s="211"/>
    </row>
    <row r="594" spans="1:33" s="211" customFormat="1" ht="15.75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1230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66" t="s">
        <v>8</v>
      </c>
      <c r="N594" s="52" t="str">
        <f>IF(AND('331-CT'!$E$7=TH!H594,OR(L594="331",M594="331")),"331",IF(AND(OR(L594="131",M594="131"),H594='131-CT'!$E$7),"131",""))</f>
        <v/>
      </c>
      <c r="O594" s="857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1">
        <v>1</v>
      </c>
      <c r="AC594" s="557"/>
      <c r="AD594" s="211" t="str">
        <f>IF(VLOOKUP(H594,DSKH,1,0)=H594,"","x")</f>
        <v/>
      </c>
      <c r="AF594" s="557"/>
      <c r="AG594" s="557"/>
    </row>
    <row r="595" spans="1:33" s="211" customFormat="1" ht="15.75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1230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66" t="s">
        <v>8</v>
      </c>
      <c r="N595" s="52" t="str">
        <f>IF(AND('331-CT'!$E$7=TH!H595,OR(L595="331",M595="331")),"331",IF(AND(OR(L595="131",M595="131"),H595='131-CT'!$E$7),"131",""))</f>
        <v/>
      </c>
      <c r="O595" s="857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1">
        <v>1</v>
      </c>
      <c r="AC595" s="557"/>
      <c r="AD595" s="211" t="str">
        <f>IF(VLOOKUP(H595,DSKH,1,0)=H595,"","x")</f>
        <v/>
      </c>
      <c r="AF595" s="557"/>
      <c r="AG595" s="557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66" t="s">
        <v>47</v>
      </c>
      <c r="N596" s="52" t="str">
        <f>IF(AND('331-CT'!$E$7=TH!H596,OR(L596="331",M596="331")),"331",IF(AND(OR(L596="131",M596="131"),H596='131-CT'!$E$7),"131",""))</f>
        <v/>
      </c>
      <c r="O596" s="857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1"/>
      <c r="AC596" s="557"/>
      <c r="AD596" s="211" t="str">
        <f>IF(VLOOKUP(H596,DSKH,1,0)=H596,"","x")</f>
        <v/>
      </c>
      <c r="AF596" s="557"/>
      <c r="AG596" s="557"/>
    </row>
    <row r="597" spans="1:33" s="211" customFormat="1" ht="15.75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1208</v>
      </c>
      <c r="E597" s="191">
        <v>42455</v>
      </c>
      <c r="F597" s="192" t="s">
        <v>1474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57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1"/>
      <c r="AC597" s="557" t="str">
        <f>IF(VLOOKUP(F597,NXT!$C$35:$C$411,1,0)=F597,"","x")</f>
        <v/>
      </c>
      <c r="AD597" s="557"/>
    </row>
    <row r="598" spans="1:33" s="211" customFormat="1" ht="15.75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1208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57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1"/>
      <c r="AC598" s="557" t="str">
        <f>IF(VLOOKUP(H598,DS_131,1,0)=H598,"","x")</f>
        <v/>
      </c>
      <c r="AD598" s="557"/>
    </row>
    <row r="599" spans="1:33" s="211" customFormat="1" ht="15.75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1209</v>
      </c>
      <c r="E599" s="191">
        <v>42455</v>
      </c>
      <c r="F599" s="192" t="s">
        <v>993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57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1"/>
      <c r="AC599" s="557" t="str">
        <f>IF(VLOOKUP(F599,NXT!$C$35:$C$411,1,0)=F599,"","x")</f>
        <v/>
      </c>
      <c r="AD599" s="557"/>
    </row>
    <row r="600" spans="1:33" s="211" customFormat="1" ht="15.75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1209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65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57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1"/>
      <c r="AC600" s="557" t="str">
        <f>IF(VLOOKUP(H600,DS_131,1,0)=H600,"","x")</f>
        <v/>
      </c>
    </row>
    <row r="601" spans="1:33" s="211" customFormat="1" ht="15.75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1210</v>
      </c>
      <c r="E601" s="191">
        <v>42455</v>
      </c>
      <c r="F601" s="192" t="s">
        <v>1468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57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1"/>
      <c r="AC601" s="557" t="str">
        <f>IF(VLOOKUP(F601,NXT!$C$35:$C$411,1,0)=F601,"","x")</f>
        <v/>
      </c>
      <c r="AD601" s="557"/>
    </row>
    <row r="602" spans="1:33" s="211" customFormat="1" ht="15.75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1210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65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57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1"/>
      <c r="AC602" s="557" t="str">
        <f>IF(VLOOKUP(H602,DS_131,1,0)=H602,"","x")</f>
        <v/>
      </c>
      <c r="AD602" s="557"/>
    </row>
    <row r="603" spans="1:33" s="211" customFormat="1" ht="15.75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1211</v>
      </c>
      <c r="E603" s="191">
        <v>42455</v>
      </c>
      <c r="F603" s="192" t="s">
        <v>994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57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1"/>
      <c r="AC603" s="557" t="str">
        <f>IF(VLOOKUP(F603,NXT!$C$35:$C$411,1,0)=F603,"","x")</f>
        <v/>
      </c>
      <c r="AD603" s="557"/>
    </row>
    <row r="604" spans="1:33" s="211" customFormat="1" ht="15.75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1211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65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57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1"/>
      <c r="AC604" s="557" t="str">
        <f>IF(VLOOKUP(H604,DS_131,1,0)=H604,"","x")</f>
        <v/>
      </c>
      <c r="AD604" s="557"/>
    </row>
    <row r="605" spans="1:33" s="211" customFormat="1" ht="15.75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1212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57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1"/>
      <c r="AC605" s="557" t="str">
        <f>IF(VLOOKUP(F605,NXT!$C$35:$C$411,1,0)=F605,"","x")</f>
        <v/>
      </c>
      <c r="AD605" s="557"/>
    </row>
    <row r="606" spans="1:33" s="211" customFormat="1" ht="15.75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1212</v>
      </c>
      <c r="E606" s="191">
        <v>42456</v>
      </c>
      <c r="F606" s="192" t="s">
        <v>981</v>
      </c>
      <c r="G606" s="456" t="s">
        <v>524</v>
      </c>
      <c r="H606" s="7" t="s">
        <v>454</v>
      </c>
      <c r="I606" s="256"/>
      <c r="J606" s="256"/>
      <c r="K606" s="565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57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1"/>
      <c r="AC606" s="557" t="str">
        <f>IF(VLOOKUP(H606,DS_131,1,0)=H606,"","x")</f>
        <v/>
      </c>
      <c r="AD606" s="557"/>
    </row>
    <row r="607" spans="1:33" s="211" customFormat="1" ht="15.75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66" t="s">
        <v>24</v>
      </c>
      <c r="M607" s="566" t="s">
        <v>259</v>
      </c>
      <c r="N607" s="52" t="str">
        <f>IF(AND('331-CT'!$E$7=TH!H607,OR(L607="331",M607="331")),"331",IF(AND(OR(L607="131",M607="131"),H607='131-CT'!$E$7),"131",""))</f>
        <v/>
      </c>
      <c r="O607" s="857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1"/>
      <c r="AC607" s="557" t="str">
        <f>IF(VLOOKUP(H607,DS_131,1,0)=H607,"","x")</f>
        <v/>
      </c>
      <c r="AD607" s="557"/>
      <c r="AF607" s="557"/>
      <c r="AG607" s="557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66" t="s">
        <v>24</v>
      </c>
      <c r="N608" s="52" t="str">
        <f>IF(AND('331-CT'!$E$7=TH!H608,OR(L608="331",M608="331")),"331",IF(AND(OR(L608="131",M608="131"),H608='131-CT'!$E$7),"131",""))</f>
        <v/>
      </c>
      <c r="O608" s="857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1"/>
      <c r="AC608" s="557"/>
      <c r="AD608" s="557"/>
    </row>
    <row r="609" spans="1:33" s="211" customFormat="1" ht="15.75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66" t="s">
        <v>24</v>
      </c>
      <c r="N609" s="52" t="str">
        <f>IF(AND('331-CT'!$E$7=TH!H609,OR(L609="331",M609="331")),"331",IF(AND(OR(L609="131",M609="131"),H609='131-CT'!$E$7),"131",""))</f>
        <v/>
      </c>
      <c r="O609" s="857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1"/>
      <c r="AC609" s="557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66" t="s">
        <v>24</v>
      </c>
      <c r="N610" s="52" t="str">
        <f>IF(AND('331-CT'!$E$7=TH!H610,OR(L610="331",M610="331")),"331",IF(AND(OR(L610="131",M610="131"),H610='131-CT'!$E$7),"131",""))</f>
        <v/>
      </c>
      <c r="O610" s="857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1"/>
      <c r="AC610" s="557"/>
      <c r="AD610" s="557"/>
    </row>
    <row r="611" spans="1:33" s="211" customFormat="1" ht="15.75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66" t="s">
        <v>24</v>
      </c>
      <c r="N611" s="52" t="str">
        <f>IF(AND('331-CT'!$E$7=TH!H611,OR(L611="331",M611="331")),"331",IF(AND(OR(L611="131",M611="131"),H611='131-CT'!$E$7),"131",""))</f>
        <v/>
      </c>
      <c r="O611" s="857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1"/>
      <c r="AC611" s="557"/>
      <c r="AD611" s="557"/>
    </row>
    <row r="612" spans="1:33" s="211" customFormat="1" ht="15.75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66" t="s">
        <v>24</v>
      </c>
      <c r="M612" s="566" t="s">
        <v>47</v>
      </c>
      <c r="N612" s="52" t="str">
        <f>IF(AND('331-CT'!$E$7=TH!H612,OR(L612="331",M612="331")),"331",IF(AND(OR(L612="131",M612="131"),H612='131-CT'!$E$7),"131",""))</f>
        <v/>
      </c>
      <c r="O612" s="857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1"/>
      <c r="AC612" s="557"/>
      <c r="AD612" s="557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66" t="s">
        <v>24</v>
      </c>
      <c r="N613" s="52" t="str">
        <f>IF(AND('331-CT'!$E$7=TH!H613,OR(L613="331",M613="331")),"331",IF(AND(OR(L613="131",M613="131"),H613='131-CT'!$E$7),"131",""))</f>
        <v/>
      </c>
      <c r="O613" s="857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1"/>
      <c r="AC613" s="557"/>
    </row>
    <row r="614" spans="1:33" s="211" customFormat="1" ht="15.75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66" t="s">
        <v>24</v>
      </c>
      <c r="N614" s="52" t="str">
        <f>IF(AND('331-CT'!$E$7=TH!H614,OR(L614="331",M614="331")),"331",IF(AND(OR(L614="131",M614="131"),H614='131-CT'!$E$7),"131",""))</f>
        <v/>
      </c>
      <c r="O614" s="857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1"/>
      <c r="AC614" s="557"/>
      <c r="AD614" s="557"/>
    </row>
    <row r="615" spans="1:33" s="211" customFormat="1" ht="15.75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1215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57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1">
        <v>1</v>
      </c>
      <c r="AC615" s="557"/>
      <c r="AD615" s="211" t="str">
        <f>IF(VLOOKUP(H615,DSKH,1,0)=H615,"","x")</f>
        <v/>
      </c>
    </row>
    <row r="616" spans="1:33" s="211" customFormat="1" ht="15.75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1215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57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1">
        <v>1</v>
      </c>
      <c r="AC616" s="557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65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57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1"/>
      <c r="AC617" s="557"/>
      <c r="AD617" s="557"/>
      <c r="AF617" s="557"/>
      <c r="AG617" s="557"/>
    </row>
    <row r="618" spans="1:33" s="211" customFormat="1" ht="15.75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1231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57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1">
        <v>2</v>
      </c>
      <c r="AC618" s="557"/>
      <c r="AD618" s="211" t="str">
        <f>IF(VLOOKUP(H618,DSKH,1,0)=H618,"","x")</f>
        <v/>
      </c>
      <c r="AF618" s="557"/>
      <c r="AG618" s="557"/>
    </row>
    <row r="619" spans="1:33" s="211" customFormat="1" ht="15.75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1231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57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1">
        <v>2</v>
      </c>
      <c r="AC619" s="557"/>
      <c r="AD619" s="211" t="str">
        <f>IF(VLOOKUP(H619,DSKH,1,0)=H619,"","x")</f>
        <v/>
      </c>
      <c r="AF619" s="557"/>
      <c r="AG619" s="557"/>
    </row>
    <row r="620" spans="1:33" s="211" customFormat="1" ht="15.75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1231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65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57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1">
        <v>2</v>
      </c>
      <c r="AC620" s="557"/>
      <c r="AD620" s="211" t="str">
        <f>IF(VLOOKUP(H620,DSKH,1,0)=H620,"","x")</f>
        <v/>
      </c>
      <c r="AF620" s="557"/>
      <c r="AG620" s="557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65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57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1"/>
      <c r="AC621" s="557"/>
      <c r="AD621" s="557"/>
    </row>
    <row r="622" spans="1:33" s="211" customFormat="1" ht="15.75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69" t="s">
        <v>334</v>
      </c>
      <c r="E622" s="869">
        <v>42460</v>
      </c>
      <c r="F622" s="870" t="s">
        <v>851</v>
      </c>
      <c r="G622" s="871"/>
      <c r="H622" s="872" t="s">
        <v>852</v>
      </c>
      <c r="I622" s="254"/>
      <c r="J622" s="255"/>
      <c r="K622" s="51">
        <v>74403233</v>
      </c>
      <c r="L622" s="857" t="s">
        <v>9</v>
      </c>
      <c r="M622" s="857" t="s">
        <v>17</v>
      </c>
      <c r="N622" s="52" t="str">
        <f>IF(AND('331-CT'!$E$7=TH!H622,OR(L622="331",M622="331")),"331",IF(AND(OR(L622="131",M622="131"),H622='131-CT'!$E$7),"131",""))</f>
        <v/>
      </c>
      <c r="O622" s="857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1"/>
      <c r="AC622" s="557"/>
      <c r="AF622" s="557"/>
      <c r="AG622" s="557"/>
    </row>
    <row r="623" spans="1:33" s="211" customFormat="1" ht="15.75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1216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57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1">
        <v>2</v>
      </c>
      <c r="AC623" s="557"/>
      <c r="AD623" s="211" t="str">
        <f t="shared" ref="AD623:AD628" si="33">IF(VLOOKUP(H623,DSKH,1,0)=H623,"","x")</f>
        <v/>
      </c>
    </row>
    <row r="624" spans="1:33" s="211" customFormat="1" ht="15.75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1216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65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57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1">
        <v>2</v>
      </c>
      <c r="AC624" s="557"/>
      <c r="AD624" s="211" t="str">
        <f t="shared" si="33"/>
        <v/>
      </c>
    </row>
    <row r="625" spans="1:33" s="211" customFormat="1" ht="15.75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1217</v>
      </c>
      <c r="E625" s="184">
        <v>42462</v>
      </c>
      <c r="F625" s="189" t="s">
        <v>710</v>
      </c>
      <c r="G625" s="456" t="s">
        <v>861</v>
      </c>
      <c r="H625" s="7" t="s">
        <v>1586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57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1">
        <v>2</v>
      </c>
      <c r="AC625" s="557"/>
      <c r="AD625" s="211" t="str">
        <f t="shared" si="33"/>
        <v/>
      </c>
    </row>
    <row r="626" spans="1:33" s="211" customFormat="1" ht="15.75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1217</v>
      </c>
      <c r="E626" s="184">
        <v>42462</v>
      </c>
      <c r="F626" s="189" t="s">
        <v>711</v>
      </c>
      <c r="G626" s="456" t="s">
        <v>861</v>
      </c>
      <c r="H626" s="7" t="s">
        <v>1586</v>
      </c>
      <c r="I626" s="256"/>
      <c r="J626" s="256"/>
      <c r="K626" s="565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57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1">
        <v>2</v>
      </c>
      <c r="AC626" s="557"/>
      <c r="AD626" s="211" t="str">
        <f t="shared" si="33"/>
        <v/>
      </c>
      <c r="AF626" s="557"/>
      <c r="AG626" s="557"/>
    </row>
    <row r="627" spans="1:33" s="211" customFormat="1" ht="15.75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1218</v>
      </c>
      <c r="E627" s="184">
        <v>42464</v>
      </c>
      <c r="F627" s="189" t="s">
        <v>710</v>
      </c>
      <c r="G627" s="456" t="s">
        <v>862</v>
      </c>
      <c r="H627" s="7" t="s">
        <v>1586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57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1">
        <v>2</v>
      </c>
      <c r="AC627" s="557"/>
      <c r="AD627" s="211" t="str">
        <f t="shared" si="33"/>
        <v/>
      </c>
      <c r="AF627" s="557"/>
      <c r="AG627" s="557"/>
    </row>
    <row r="628" spans="1:33" s="211" customFormat="1" ht="15.75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1218</v>
      </c>
      <c r="E628" s="184">
        <v>42464</v>
      </c>
      <c r="F628" s="189" t="s">
        <v>711</v>
      </c>
      <c r="G628" s="456" t="s">
        <v>862</v>
      </c>
      <c r="H628" s="7" t="s">
        <v>1586</v>
      </c>
      <c r="I628" s="256"/>
      <c r="J628" s="256"/>
      <c r="K628" s="565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57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1">
        <v>2</v>
      </c>
      <c r="AC628" s="557"/>
      <c r="AD628" s="211" t="str">
        <f t="shared" si="33"/>
        <v/>
      </c>
      <c r="AF628" s="557"/>
      <c r="AG628" s="557"/>
    </row>
    <row r="629" spans="1:33" s="211" customFormat="1" ht="15.75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1107</v>
      </c>
      <c r="E629" s="191">
        <v>42464</v>
      </c>
      <c r="F629" s="189" t="s">
        <v>1341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57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1"/>
      <c r="AC629" s="557" t="str">
        <f>IF(VLOOKUP(F629,NXT!$C$35:$C$411,1,0)=F629,"","x")</f>
        <v/>
      </c>
      <c r="AD629" s="557"/>
    </row>
    <row r="630" spans="1:33" s="211" customFormat="1" ht="15.75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1107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65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57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1"/>
      <c r="AC630" s="557" t="str">
        <f>IF(VLOOKUP(H630,DS_131,1,0)=H630,"","x")</f>
        <v/>
      </c>
      <c r="AD630" s="557"/>
    </row>
    <row r="631" spans="1:33" s="211" customFormat="1" ht="15.75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1219</v>
      </c>
      <c r="E631" s="184">
        <v>42467</v>
      </c>
      <c r="F631" s="189" t="s">
        <v>720</v>
      </c>
      <c r="G631" s="456" t="s">
        <v>863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57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1">
        <v>2</v>
      </c>
      <c r="AC631" s="557"/>
      <c r="AD631" s="211" t="str">
        <f>IF(VLOOKUP(H631,DSKH,1,0)=H631,"","x")</f>
        <v/>
      </c>
      <c r="AF631" s="557"/>
      <c r="AG631" s="557"/>
    </row>
    <row r="632" spans="1:33" s="211" customFormat="1" ht="15.75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1219</v>
      </c>
      <c r="E632" s="184">
        <v>42467</v>
      </c>
      <c r="F632" s="189" t="s">
        <v>721</v>
      </c>
      <c r="G632" s="456" t="s">
        <v>863</v>
      </c>
      <c r="H632" s="7" t="s">
        <v>860</v>
      </c>
      <c r="I632" s="256"/>
      <c r="J632" s="256"/>
      <c r="K632" s="565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57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1">
        <v>2</v>
      </c>
      <c r="AC632" s="557"/>
      <c r="AD632" s="211" t="str">
        <f>IF(VLOOKUP(H632,DSKH,1,0)=H632,"","x")</f>
        <v/>
      </c>
      <c r="AF632" s="557"/>
      <c r="AG632" s="557"/>
    </row>
    <row r="633" spans="1:33" s="211" customFormat="1" ht="15.75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1220</v>
      </c>
      <c r="E633" s="184">
        <v>42467</v>
      </c>
      <c r="F633" s="189" t="s">
        <v>720</v>
      </c>
      <c r="G633" s="456" t="s">
        <v>864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57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1">
        <v>2</v>
      </c>
      <c r="AC633" s="557"/>
      <c r="AD633" s="211" t="str">
        <f>IF(VLOOKUP(H633,DSKH,1,0)=H633,"","x")</f>
        <v/>
      </c>
      <c r="AF633" s="557"/>
      <c r="AG633" s="557"/>
    </row>
    <row r="634" spans="1:33" s="211" customFormat="1" ht="15.75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1220</v>
      </c>
      <c r="E634" s="184">
        <v>42467</v>
      </c>
      <c r="F634" s="189" t="s">
        <v>721</v>
      </c>
      <c r="G634" s="456" t="s">
        <v>864</v>
      </c>
      <c r="H634" s="7" t="s">
        <v>860</v>
      </c>
      <c r="I634" s="256"/>
      <c r="J634" s="256"/>
      <c r="K634" s="565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57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1">
        <v>2</v>
      </c>
      <c r="AC634" s="557"/>
      <c r="AD634" s="211" t="str">
        <f>IF(VLOOKUP(H634,DSKH,1,0)=H634,"","x")</f>
        <v/>
      </c>
      <c r="AF634" s="557"/>
      <c r="AG634" s="557"/>
    </row>
    <row r="635" spans="1:33" s="211" customFormat="1" ht="15.75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1108</v>
      </c>
      <c r="E635" s="191">
        <v>42467</v>
      </c>
      <c r="F635" s="192" t="s">
        <v>1474</v>
      </c>
      <c r="G635" s="456" t="s">
        <v>995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57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1"/>
      <c r="AC635" s="557" t="str">
        <f>IF(VLOOKUP(F635,NXT!$C$35:$C$411,1,0)=F635,"","x")</f>
        <v/>
      </c>
      <c r="AD635" s="557"/>
    </row>
    <row r="636" spans="1:33" s="211" customFormat="1" ht="15.75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1108</v>
      </c>
      <c r="E636" s="191">
        <v>42467</v>
      </c>
      <c r="F636" s="192" t="s">
        <v>1474</v>
      </c>
      <c r="G636" s="456" t="s">
        <v>995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57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1"/>
      <c r="AC636" s="557" t="str">
        <f>IF(VLOOKUP(F636,NXT!$C$35:$C$411,1,0)=F636,"","x")</f>
        <v/>
      </c>
      <c r="AD636" s="557"/>
    </row>
    <row r="637" spans="1:33" s="211" customFormat="1" ht="15.75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1108</v>
      </c>
      <c r="E637" s="191">
        <v>42467</v>
      </c>
      <c r="F637" s="192" t="s">
        <v>1474</v>
      </c>
      <c r="G637" s="456" t="s">
        <v>995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57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1"/>
      <c r="AC637" s="557" t="str">
        <f>IF(VLOOKUP(F637,NXT!$C$35:$C$411,1,0)=F637,"","x")</f>
        <v/>
      </c>
    </row>
    <row r="638" spans="1:33" s="211" customFormat="1" ht="15.75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1108</v>
      </c>
      <c r="E638" s="191">
        <v>42467</v>
      </c>
      <c r="F638" s="189" t="s">
        <v>423</v>
      </c>
      <c r="G638" s="456" t="s">
        <v>995</v>
      </c>
      <c r="H638" s="7" t="s">
        <v>429</v>
      </c>
      <c r="I638" s="256"/>
      <c r="J638" s="256"/>
      <c r="K638" s="565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57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1"/>
      <c r="AC638" s="557" t="str">
        <f>IF(VLOOKUP(H638,DS_131,1,0)=H638,"","x")</f>
        <v/>
      </c>
      <c r="AD638" s="557"/>
    </row>
    <row r="639" spans="1:33" s="211" customFormat="1" ht="15.75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1109</v>
      </c>
      <c r="E639" s="191">
        <v>42467</v>
      </c>
      <c r="F639" s="291" t="s">
        <v>996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57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1"/>
      <c r="AC639" s="557" t="str">
        <f>IF(VLOOKUP(F639,NXT!$C$35:$C$411,1,0)=F639,"","x")</f>
        <v/>
      </c>
      <c r="AD639" s="557"/>
    </row>
    <row r="640" spans="1:33" s="211" customFormat="1" ht="15.75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1109</v>
      </c>
      <c r="E640" s="191">
        <v>42467</v>
      </c>
      <c r="F640" s="192" t="s">
        <v>997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57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1"/>
      <c r="AC640" s="557" t="str">
        <f>IF(VLOOKUP(F640,NXT!$C$35:$C$411,1,0)=F640,"","x")</f>
        <v/>
      </c>
      <c r="AD640" s="557"/>
    </row>
    <row r="641" spans="1:30" s="211" customFormat="1" ht="15.75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1109</v>
      </c>
      <c r="E641" s="184">
        <v>42467</v>
      </c>
      <c r="F641" s="189" t="s">
        <v>987</v>
      </c>
      <c r="G641" s="567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57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1"/>
      <c r="AC641" s="557" t="str">
        <f>IF(VLOOKUP(F641,NXT!$C$35:$C$411,1,0)=F641,"","x")</f>
        <v/>
      </c>
      <c r="AD641" s="557"/>
    </row>
    <row r="642" spans="1:30" s="211" customFormat="1" ht="15.75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1109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57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1"/>
      <c r="AC642" s="557" t="str">
        <f>IF(VLOOKUP(H642,DS_131,1,0)=H642,"","x")</f>
        <v/>
      </c>
      <c r="AD642" s="557"/>
    </row>
    <row r="643" spans="1:30" s="211" customFormat="1" ht="15.75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26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65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57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2"/>
      <c r="AC643" s="557" t="str">
        <f>IF(VLOOKUP(H643,DS_131,1,0)=H643,"","x")</f>
        <v/>
      </c>
      <c r="AD643" s="557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26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65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57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2"/>
      <c r="AC644" s="557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26">
        <v>42468</v>
      </c>
      <c r="F645" s="192" t="s">
        <v>701</v>
      </c>
      <c r="G645" s="192" t="s">
        <v>332</v>
      </c>
      <c r="H645" s="193"/>
      <c r="I645" s="256"/>
      <c r="J645" s="256"/>
      <c r="K645" s="565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57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2"/>
      <c r="AC645" s="557"/>
      <c r="AD645" s="557"/>
    </row>
    <row r="646" spans="1:30" s="211" customFormat="1" ht="15.75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26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65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57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2"/>
      <c r="AC646" s="557"/>
    </row>
    <row r="647" spans="1:30" s="211" customFormat="1" ht="15.75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26">
        <v>42468</v>
      </c>
      <c r="F647" s="192" t="s">
        <v>702</v>
      </c>
      <c r="G647" s="192" t="s">
        <v>332</v>
      </c>
      <c r="H647" s="193"/>
      <c r="I647" s="256"/>
      <c r="J647" s="256"/>
      <c r="K647" s="565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57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1">
        <v>2</v>
      </c>
      <c r="AC647" s="557"/>
      <c r="AD647" s="557"/>
    </row>
    <row r="648" spans="1:30" s="211" customFormat="1" ht="15.75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26">
        <v>42468</v>
      </c>
      <c r="F648" s="192" t="s">
        <v>793</v>
      </c>
      <c r="G648" s="192" t="s">
        <v>332</v>
      </c>
      <c r="H648" s="193"/>
      <c r="I648" s="256"/>
      <c r="J648" s="256"/>
      <c r="K648" s="565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57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1">
        <v>2</v>
      </c>
      <c r="AC648" s="557"/>
    </row>
    <row r="649" spans="1:30" s="211" customFormat="1" ht="15.75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1110</v>
      </c>
      <c r="E649" s="184">
        <v>42468</v>
      </c>
      <c r="F649" s="189" t="s">
        <v>466</v>
      </c>
      <c r="G649" s="567" t="s">
        <v>530</v>
      </c>
      <c r="H649" s="867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57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1"/>
      <c r="AC649" s="557" t="str">
        <f>IF(VLOOKUP(F649,NXT!$C$35:$C$411,1,0)=F649,"","x")</f>
        <v/>
      </c>
      <c r="AD649" s="557"/>
    </row>
    <row r="650" spans="1:30" s="211" customFormat="1" ht="15.75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1110</v>
      </c>
      <c r="E650" s="184">
        <v>42468</v>
      </c>
      <c r="F650" s="192" t="s">
        <v>466</v>
      </c>
      <c r="G650" s="567" t="s">
        <v>530</v>
      </c>
      <c r="H650" s="867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57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1"/>
      <c r="AC650" s="557" t="str">
        <f>IF(VLOOKUP(F650,NXT!$C$35:$C$411,1,0)=F650,"","x")</f>
        <v/>
      </c>
    </row>
    <row r="651" spans="1:30" s="211" customFormat="1" ht="15.75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1110</v>
      </c>
      <c r="E651" s="191">
        <v>42468</v>
      </c>
      <c r="F651" s="192" t="s">
        <v>423</v>
      </c>
      <c r="G651" s="456" t="s">
        <v>530</v>
      </c>
      <c r="H651" s="867" t="s">
        <v>595</v>
      </c>
      <c r="I651" s="256"/>
      <c r="J651" s="256"/>
      <c r="K651" s="565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57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1"/>
      <c r="AC651" s="557" t="str">
        <f>IF(VLOOKUP(H651,DS_131,1,0)=H651,"","x")</f>
        <v/>
      </c>
      <c r="AD651" s="557"/>
    </row>
    <row r="652" spans="1:30" s="211" customFormat="1" ht="15.75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1111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57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1"/>
      <c r="AC652" s="557" t="str">
        <f>IF(VLOOKUP(F652,NXT!$C$35:$C$411,1,0)=F652,"","x")</f>
        <v/>
      </c>
      <c r="AD652" s="557"/>
    </row>
    <row r="653" spans="1:30" s="211" customFormat="1" ht="15.75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1111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57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1"/>
      <c r="AC653" s="557" t="str">
        <f>IF(VLOOKUP(F653,NXT!$C$35:$C$411,1,0)=F653,"","x")</f>
        <v/>
      </c>
      <c r="AD653" s="557"/>
    </row>
    <row r="654" spans="1:30" s="211" customFormat="1" ht="15.75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1111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57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1"/>
      <c r="AC654" s="557" t="str">
        <f>IF(VLOOKUP(H654,DS_131,1,0)=H654,"","x")</f>
        <v/>
      </c>
      <c r="AD654" s="557"/>
    </row>
    <row r="655" spans="1:30" s="211" customFormat="1" ht="15.75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1112</v>
      </c>
      <c r="E655" s="191">
        <v>42468</v>
      </c>
      <c r="F655" s="189" t="s">
        <v>1465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57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1"/>
      <c r="AC655" s="557" t="str">
        <f>IF(VLOOKUP(F655,NXT!$C$35:$C$411,1,0)=F655,"","x")</f>
        <v/>
      </c>
      <c r="AD655" s="557"/>
    </row>
    <row r="656" spans="1:30" s="211" customFormat="1" ht="15.75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1112</v>
      </c>
      <c r="E656" s="191">
        <v>42468</v>
      </c>
      <c r="F656" s="192" t="s">
        <v>1466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57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1"/>
      <c r="AC656" s="557" t="str">
        <f>IF(VLOOKUP(F656,NXT!$C$35:$C$411,1,0)=F656,"","x")</f>
        <v/>
      </c>
      <c r="AD656" s="557"/>
    </row>
    <row r="657" spans="1:31" s="211" customFormat="1" ht="15.75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1112</v>
      </c>
      <c r="E657" s="184">
        <v>42468</v>
      </c>
      <c r="F657" s="189" t="s">
        <v>1337</v>
      </c>
      <c r="G657" s="567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57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1"/>
      <c r="AC657" s="557" t="str">
        <f>IF(VLOOKUP(F657,NXT!$C$35:$C$411,1,0)=F657,"","x")</f>
        <v/>
      </c>
      <c r="AD657" s="557"/>
    </row>
    <row r="658" spans="1:31" s="211" customFormat="1" ht="15.75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1112</v>
      </c>
      <c r="E658" s="191">
        <v>42468</v>
      </c>
      <c r="F658" s="189" t="s">
        <v>1338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57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1"/>
      <c r="AC658" s="557" t="str">
        <f>IF(VLOOKUP(F658,NXT!$C$35:$C$411,1,0)=F658,"","x")</f>
        <v/>
      </c>
      <c r="AD658" s="557"/>
    </row>
    <row r="659" spans="1:31" s="211" customFormat="1" ht="15.75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1112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57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1"/>
      <c r="AC659" s="557" t="str">
        <f>IF(VLOOKUP(H659,DS_131,1,0)=H659,"","x")</f>
        <v/>
      </c>
    </row>
    <row r="660" spans="1:31" s="211" customFormat="1" ht="15.75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1113</v>
      </c>
      <c r="E660" s="191">
        <v>42468</v>
      </c>
      <c r="F660" s="192" t="s">
        <v>942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57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1"/>
      <c r="AC660" s="557" t="str">
        <f>IF(VLOOKUP(F660,NXT!$C$35:$C$411,1,0)=F660,"","x")</f>
        <v/>
      </c>
      <c r="AD660" s="557"/>
    </row>
    <row r="661" spans="1:31" s="211" customFormat="1" ht="15.75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1113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57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1"/>
      <c r="AC661" s="557" t="str">
        <f>IF(VLOOKUP(H661,DS_131,1,0)=H661,"","x")</f>
        <v/>
      </c>
      <c r="AD661" s="557"/>
    </row>
    <row r="662" spans="1:31" s="211" customFormat="1" ht="15.75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1114</v>
      </c>
      <c r="E662" s="191">
        <v>42468</v>
      </c>
      <c r="F662" s="189" t="s">
        <v>998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57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1"/>
      <c r="AC662" s="557" t="str">
        <f>IF(VLOOKUP(F662,NXT!$C$35:$C$411,1,0)=F662,"","x")</f>
        <v/>
      </c>
      <c r="AD662" s="557"/>
    </row>
    <row r="663" spans="1:31" s="211" customFormat="1" ht="15.75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1114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65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57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1"/>
      <c r="AC663" s="557" t="str">
        <f>IF(VLOOKUP(H663,DS_131,1,0)=H663,"","x")</f>
        <v/>
      </c>
    </row>
    <row r="664" spans="1:31" s="211" customFormat="1" ht="15.75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1115</v>
      </c>
      <c r="E664" s="191">
        <v>42468</v>
      </c>
      <c r="F664" s="192" t="s">
        <v>1468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57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1"/>
      <c r="AC664" s="557" t="str">
        <f>IF(VLOOKUP(F664,NXT!$C$35:$C$411,1,0)=F664,"","x")</f>
        <v/>
      </c>
      <c r="AD664" s="557"/>
    </row>
    <row r="665" spans="1:31" s="211" customFormat="1" ht="15.75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1115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65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57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1"/>
      <c r="AC665" s="557" t="str">
        <f>IF(VLOOKUP(H665,DS_131,1,0)=H665,"","x")</f>
        <v/>
      </c>
    </row>
    <row r="666" spans="1:31" s="211" customFormat="1" ht="15.75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26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65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57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2"/>
      <c r="AC666" s="557" t="str">
        <f>IF(VLOOKUP(H666,DS_131,1,0)=H666,"","x")</f>
        <v/>
      </c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26">
        <v>42471</v>
      </c>
      <c r="F667" s="192" t="s">
        <v>824</v>
      </c>
      <c r="G667" s="192" t="s">
        <v>332</v>
      </c>
      <c r="H667" s="193"/>
      <c r="I667" s="256"/>
      <c r="J667" s="256"/>
      <c r="K667" s="565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57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2"/>
      <c r="AC667" s="557"/>
      <c r="AD667" s="557"/>
      <c r="AE667" s="557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26">
        <v>42471</v>
      </c>
      <c r="F668" s="192" t="s">
        <v>824</v>
      </c>
      <c r="G668" s="192" t="s">
        <v>332</v>
      </c>
      <c r="H668" s="193"/>
      <c r="I668" s="256"/>
      <c r="J668" s="256"/>
      <c r="K668" s="565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57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2"/>
      <c r="AC668" s="557"/>
      <c r="AD668" s="557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26">
        <v>42471</v>
      </c>
      <c r="F669" s="192" t="s">
        <v>824</v>
      </c>
      <c r="G669" s="192" t="s">
        <v>332</v>
      </c>
      <c r="H669" s="193"/>
      <c r="I669" s="256"/>
      <c r="J669" s="256"/>
      <c r="K669" s="565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57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2"/>
      <c r="AC669" s="557"/>
      <c r="AD669" s="557"/>
      <c r="AE669" s="557"/>
    </row>
    <row r="670" spans="1:31" s="211" customFormat="1" ht="15.75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26">
        <v>42471</v>
      </c>
      <c r="F670" s="192" t="s">
        <v>702</v>
      </c>
      <c r="G670" s="192" t="s">
        <v>332</v>
      </c>
      <c r="H670" s="193"/>
      <c r="I670" s="256"/>
      <c r="J670" s="256"/>
      <c r="K670" s="565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57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1">
        <v>2</v>
      </c>
      <c r="AC670" s="557"/>
    </row>
    <row r="671" spans="1:31" s="211" customFormat="1" ht="15.75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26">
        <v>42471</v>
      </c>
      <c r="F671" s="192" t="s">
        <v>793</v>
      </c>
      <c r="G671" s="192" t="s">
        <v>332</v>
      </c>
      <c r="H671" s="193"/>
      <c r="I671" s="256"/>
      <c r="J671" s="256"/>
      <c r="K671" s="565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57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1">
        <v>2</v>
      </c>
      <c r="AC671" s="557"/>
      <c r="AD671" s="557"/>
    </row>
    <row r="672" spans="1:31" s="211" customFormat="1" ht="15.75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26">
        <v>42471</v>
      </c>
      <c r="F672" s="192" t="s">
        <v>702</v>
      </c>
      <c r="G672" s="192" t="s">
        <v>332</v>
      </c>
      <c r="H672" s="193"/>
      <c r="I672" s="256"/>
      <c r="J672" s="256"/>
      <c r="K672" s="565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57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1">
        <v>2</v>
      </c>
      <c r="AC672" s="557"/>
      <c r="AD672" s="557"/>
    </row>
    <row r="673" spans="1:31" s="211" customFormat="1" ht="15.75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26">
        <v>42471</v>
      </c>
      <c r="F673" s="192" t="s">
        <v>793</v>
      </c>
      <c r="G673" s="192" t="s">
        <v>332</v>
      </c>
      <c r="H673" s="7"/>
      <c r="I673" s="256"/>
      <c r="J673" s="256"/>
      <c r="K673" s="565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57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1">
        <v>2</v>
      </c>
      <c r="AC673" s="557"/>
      <c r="AD673" s="557"/>
      <c r="AE673" s="557"/>
    </row>
    <row r="674" spans="1:31" s="211" customFormat="1" ht="15.75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26">
        <v>42471</v>
      </c>
      <c r="F674" s="192" t="s">
        <v>702</v>
      </c>
      <c r="G674" s="192" t="s">
        <v>332</v>
      </c>
      <c r="H674" s="7"/>
      <c r="I674" s="256"/>
      <c r="J674" s="256"/>
      <c r="K674" s="565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57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1">
        <v>2</v>
      </c>
      <c r="AC674" s="557"/>
      <c r="AD674" s="557"/>
    </row>
    <row r="675" spans="1:31" s="211" customFormat="1" ht="15.75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26">
        <v>42471</v>
      </c>
      <c r="F675" s="192" t="s">
        <v>793</v>
      </c>
      <c r="G675" s="192" t="s">
        <v>332</v>
      </c>
      <c r="H675" s="7"/>
      <c r="I675" s="256"/>
      <c r="J675" s="256"/>
      <c r="K675" s="565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57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1">
        <v>2</v>
      </c>
      <c r="AC675" s="557"/>
    </row>
    <row r="676" spans="1:31" s="211" customFormat="1" ht="15.75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1116</v>
      </c>
      <c r="E676" s="191">
        <v>42471</v>
      </c>
      <c r="F676" s="291" t="s">
        <v>999</v>
      </c>
      <c r="G676" s="456" t="s">
        <v>538</v>
      </c>
      <c r="H676" s="7" t="s">
        <v>1000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57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1"/>
      <c r="AC676" s="557" t="str">
        <f>IF(VLOOKUP(F676,NXT!$C$35:$C$411,1,0)=F676,"","x")</f>
        <v/>
      </c>
      <c r="AD676" s="557"/>
    </row>
    <row r="677" spans="1:31" s="211" customFormat="1" ht="15.75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1116</v>
      </c>
      <c r="E677" s="191">
        <v>42471</v>
      </c>
      <c r="F677" s="189" t="s">
        <v>1001</v>
      </c>
      <c r="G677" s="456" t="s">
        <v>538</v>
      </c>
      <c r="H677" s="7" t="s">
        <v>1000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57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1"/>
      <c r="AC677" s="557" t="str">
        <f>IF(VLOOKUP(F677,NXT!$C$35:$C$411,1,0)=F677,"","x")</f>
        <v/>
      </c>
      <c r="AD677" s="557"/>
    </row>
    <row r="678" spans="1:31" s="211" customFormat="1" ht="15.75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1116</v>
      </c>
      <c r="E678" s="191">
        <v>42471</v>
      </c>
      <c r="F678" s="189" t="s">
        <v>1002</v>
      </c>
      <c r="G678" s="456" t="s">
        <v>538</v>
      </c>
      <c r="H678" s="7" t="s">
        <v>1000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57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1"/>
      <c r="AC678" s="557" t="str">
        <f>IF(VLOOKUP(F678,NXT!$C$35:$C$411,1,0)=F678,"","x")</f>
        <v/>
      </c>
      <c r="AD678" s="557"/>
    </row>
    <row r="679" spans="1:31" s="211" customFormat="1" ht="15.75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1116</v>
      </c>
      <c r="E679" s="191">
        <v>42471</v>
      </c>
      <c r="F679" s="189" t="s">
        <v>423</v>
      </c>
      <c r="G679" s="456" t="s">
        <v>538</v>
      </c>
      <c r="H679" s="7" t="s">
        <v>1000</v>
      </c>
      <c r="I679" s="256"/>
      <c r="J679" s="256"/>
      <c r="K679" s="565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57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1"/>
      <c r="AC679" s="557" t="str">
        <f>IF(VLOOKUP(H679,DS_131,1,0)=H679,"","x")</f>
        <v/>
      </c>
      <c r="AD679" s="557"/>
    </row>
    <row r="680" spans="1:31" s="211" customFormat="1" ht="15.75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1117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57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1"/>
      <c r="AC680" s="557" t="str">
        <f>IF(VLOOKUP(F680,NXT!$C$35:$C$411,1,0)=F680,"","x")</f>
        <v/>
      </c>
      <c r="AD680" s="557"/>
    </row>
    <row r="681" spans="1:31" s="211" customFormat="1" ht="15.75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1117</v>
      </c>
      <c r="E681" s="184">
        <v>42472</v>
      </c>
      <c r="F681" s="189" t="s">
        <v>723</v>
      </c>
      <c r="G681" s="567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57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1"/>
      <c r="AC681" s="557" t="str">
        <f>IF(VLOOKUP(F681,NXT!$C$35:$C$411,1,0)=F681,"","x")</f>
        <v/>
      </c>
      <c r="AD681" s="557"/>
    </row>
    <row r="682" spans="1:31" s="211" customFormat="1" ht="15.75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1117</v>
      </c>
      <c r="E682" s="184">
        <v>42472</v>
      </c>
      <c r="F682" s="189" t="s">
        <v>423</v>
      </c>
      <c r="G682" s="567" t="s">
        <v>539</v>
      </c>
      <c r="H682" s="7" t="s">
        <v>458</v>
      </c>
      <c r="I682" s="256"/>
      <c r="J682" s="256"/>
      <c r="K682" s="565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57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1"/>
      <c r="AC682" s="557" t="str">
        <f>IF(VLOOKUP(H682,DS_131,1,0)=H682,"","x")</f>
        <v/>
      </c>
      <c r="AD682" s="557"/>
    </row>
    <row r="683" spans="1:31" s="211" customFormat="1" ht="15.75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1118</v>
      </c>
      <c r="E683" s="184">
        <v>42472</v>
      </c>
      <c r="F683" s="189" t="s">
        <v>1003</v>
      </c>
      <c r="G683" s="567" t="s">
        <v>540</v>
      </c>
      <c r="H683" s="193" t="s">
        <v>1299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57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1"/>
      <c r="AC683" s="557" t="str">
        <f>IF(VLOOKUP(F683,NXT!$C$35:$C$411,1,0)=F683,"","x")</f>
        <v/>
      </c>
      <c r="AD683" s="557"/>
    </row>
    <row r="684" spans="1:31" s="211" customFormat="1" ht="15.75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1118</v>
      </c>
      <c r="E684" s="184">
        <v>42472</v>
      </c>
      <c r="F684" s="189" t="s">
        <v>1004</v>
      </c>
      <c r="G684" s="567" t="s">
        <v>540</v>
      </c>
      <c r="H684" s="193" t="s">
        <v>1299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57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1"/>
      <c r="AC684" s="557" t="str">
        <f>IF(VLOOKUP(F684,NXT!$C$35:$C$411,1,0)=F684,"","x")</f>
        <v/>
      </c>
    </row>
    <row r="685" spans="1:31" s="211" customFormat="1" ht="15.75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1118</v>
      </c>
      <c r="E685" s="191">
        <v>42472</v>
      </c>
      <c r="F685" s="189" t="s">
        <v>423</v>
      </c>
      <c r="G685" s="456" t="s">
        <v>540</v>
      </c>
      <c r="H685" s="193" t="s">
        <v>1299</v>
      </c>
      <c r="I685" s="256"/>
      <c r="J685" s="256"/>
      <c r="K685" s="565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57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1"/>
      <c r="AC685" s="557" t="str">
        <f>IF(VLOOKUP(H685,DS_131,1,0)=H685,"","x")</f>
        <v/>
      </c>
      <c r="AD685" s="557"/>
    </row>
    <row r="686" spans="1:31" s="211" customFormat="1" ht="15.75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1119</v>
      </c>
      <c r="E686" s="191">
        <v>42472</v>
      </c>
      <c r="F686" s="189" t="s">
        <v>1005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57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1"/>
      <c r="AC686" s="557" t="str">
        <f>IF(VLOOKUP(F686,NXT!$C$35:$C$411,1,0)=F686,"","x")</f>
        <v/>
      </c>
      <c r="AD686" s="557"/>
    </row>
    <row r="687" spans="1:31" s="211" customFormat="1" ht="15.75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1119</v>
      </c>
      <c r="E687" s="191">
        <v>42472</v>
      </c>
      <c r="F687" s="189" t="s">
        <v>1006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57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1"/>
      <c r="AC687" s="557" t="str">
        <f>IF(VLOOKUP(F687,NXT!$C$35:$C$411,1,0)=F687,"","x")</f>
        <v/>
      </c>
    </row>
    <row r="688" spans="1:31" s="211" customFormat="1" ht="15.75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1119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65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57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1"/>
      <c r="AC688" s="557" t="str">
        <f>IF(VLOOKUP(H688,DS_131,1,0)=H688,"","x")</f>
        <v/>
      </c>
      <c r="AD688" s="557"/>
    </row>
    <row r="689" spans="1:33" s="211" customFormat="1" ht="15.75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1120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57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1"/>
      <c r="AC689" s="557" t="str">
        <f>IF(VLOOKUP(F689,NXT!$C$35:$C$411,1,0)=F689,"","x")</f>
        <v/>
      </c>
    </row>
    <row r="690" spans="1:33" s="211" customFormat="1" ht="15.75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1120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57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1"/>
      <c r="AC690" s="557" t="str">
        <f>IF(VLOOKUP(F690,NXT!$C$35:$C$411,1,0)=F690,"","x")</f>
        <v/>
      </c>
      <c r="AD690" s="557"/>
    </row>
    <row r="691" spans="1:33" s="211" customFormat="1" ht="15.75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1120</v>
      </c>
      <c r="E691" s="191">
        <v>42472</v>
      </c>
      <c r="F691" s="189" t="s">
        <v>1007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57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1"/>
      <c r="AC691" s="557" t="str">
        <f>IF(VLOOKUP(F691,NXT!$C$35:$C$411,1,0)=F691,"","x")</f>
        <v/>
      </c>
      <c r="AD691" s="557"/>
    </row>
    <row r="692" spans="1:33" s="211" customFormat="1" ht="15.75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1120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65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57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1"/>
      <c r="AC692" s="557" t="str">
        <f>IF(VLOOKUP(H692,DS_131,1,0)=H692,"","x")</f>
        <v/>
      </c>
      <c r="AD692" s="557"/>
    </row>
    <row r="693" spans="1:33" s="211" customFormat="1" ht="15.75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26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65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57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2"/>
      <c r="AC693" s="557" t="str">
        <f>IF(VLOOKUP(H693,DS_131,1,0)=H693,"","x")</f>
        <v/>
      </c>
      <c r="AD693" s="557"/>
    </row>
    <row r="694" spans="1:33" s="211" customFormat="1" ht="15.75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1121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57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1"/>
      <c r="AC694" s="557" t="str">
        <f>IF(VLOOKUP(F694,NXT!$C$35:$C$411,1,0)=F694,"","x")</f>
        <v/>
      </c>
    </row>
    <row r="695" spans="1:33" s="211" customFormat="1" ht="15.75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1121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57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1"/>
      <c r="AC695" s="557" t="str">
        <f>IF(VLOOKUP(F695,NXT!$C$35:$C$411,1,0)=F695,"","x")</f>
        <v/>
      </c>
      <c r="AD695" s="557"/>
    </row>
    <row r="696" spans="1:33" s="211" customFormat="1" ht="15.75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1121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65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57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1"/>
      <c r="AC696" s="557" t="str">
        <f>IF(VLOOKUP(H696,DS_131,1,0)=H696,"","x")</f>
        <v/>
      </c>
    </row>
    <row r="697" spans="1:33" s="211" customFormat="1" ht="15.75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1122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57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1"/>
      <c r="AC697" s="557"/>
    </row>
    <row r="698" spans="1:33" s="211" customFormat="1" ht="15.75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1122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65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57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1"/>
      <c r="AC698" s="557" t="str">
        <f>IF(VLOOKUP(H698,DS_131,1,0)=H698,"","x")</f>
        <v/>
      </c>
      <c r="AD698" s="557"/>
    </row>
    <row r="699" spans="1:33" s="211" customFormat="1" ht="15.75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26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65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57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2"/>
      <c r="AC699" s="557"/>
      <c r="AD699" s="557"/>
    </row>
    <row r="700" spans="1:33" s="211" customFormat="1" ht="15.75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26">
        <v>42474</v>
      </c>
      <c r="F700" s="189" t="s">
        <v>704</v>
      </c>
      <c r="G700" s="192" t="s">
        <v>332</v>
      </c>
      <c r="H700" s="7"/>
      <c r="I700" s="256"/>
      <c r="J700" s="256"/>
      <c r="K700" s="565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57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1">
        <v>2</v>
      </c>
      <c r="AC700" s="557"/>
      <c r="AD700" s="557"/>
    </row>
    <row r="701" spans="1:33" s="211" customFormat="1" ht="15.75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26">
        <v>42474</v>
      </c>
      <c r="F701" s="189" t="s">
        <v>825</v>
      </c>
      <c r="G701" s="192" t="s">
        <v>332</v>
      </c>
      <c r="H701" s="7"/>
      <c r="I701" s="256"/>
      <c r="J701" s="256"/>
      <c r="K701" s="565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57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1">
        <v>2</v>
      </c>
      <c r="AC701" s="557"/>
    </row>
    <row r="702" spans="1:33" s="211" customFormat="1" ht="15.75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1221</v>
      </c>
      <c r="E702" s="184">
        <v>42474</v>
      </c>
      <c r="F702" s="192" t="s">
        <v>712</v>
      </c>
      <c r="G702" s="456" t="s">
        <v>682</v>
      </c>
      <c r="H702" s="7" t="s">
        <v>865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57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1">
        <v>2</v>
      </c>
      <c r="AC702" s="557"/>
      <c r="AD702" s="211" t="str">
        <f>IF(VLOOKUP(H702,DSKH,1,0)=H702,"","x")</f>
        <v/>
      </c>
      <c r="AF702" s="557"/>
      <c r="AG702" s="557"/>
    </row>
    <row r="703" spans="1:33" s="211" customFormat="1" ht="15.75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1221</v>
      </c>
      <c r="E703" s="184">
        <v>42474</v>
      </c>
      <c r="F703" s="192" t="s">
        <v>713</v>
      </c>
      <c r="G703" s="456" t="s">
        <v>682</v>
      </c>
      <c r="H703" s="7" t="s">
        <v>865</v>
      </c>
      <c r="I703" s="256"/>
      <c r="J703" s="256"/>
      <c r="K703" s="565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57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1">
        <v>2</v>
      </c>
      <c r="AC703" s="557"/>
      <c r="AD703" s="211" t="str">
        <f>IF(VLOOKUP(H703,DSKH,1,0)=H703,"","x")</f>
        <v/>
      </c>
      <c r="AF703" s="557"/>
      <c r="AG703" s="557"/>
    </row>
    <row r="704" spans="1:33" s="211" customFormat="1" ht="15.75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26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65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57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2"/>
      <c r="AC704" s="557" t="str">
        <f>IF(VLOOKUP(H704,DS_131,1,0)=H704,"","x")</f>
        <v/>
      </c>
      <c r="AD704" s="557"/>
    </row>
    <row r="705" spans="1:33" s="211" customFormat="1" ht="15.75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26">
        <v>42475</v>
      </c>
      <c r="F705" s="192" t="s">
        <v>696</v>
      </c>
      <c r="G705" s="192" t="s">
        <v>332</v>
      </c>
      <c r="H705" s="193" t="s">
        <v>1299</v>
      </c>
      <c r="I705" s="256"/>
      <c r="J705" s="256"/>
      <c r="K705" s="565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57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2"/>
      <c r="AC705" s="557" t="str">
        <f>IF(VLOOKUP(H705,DS_131,1,0)=H705,"","x")</f>
        <v/>
      </c>
      <c r="AD705" s="557"/>
    </row>
    <row r="706" spans="1:33" s="211" customFormat="1" ht="15.75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1123</v>
      </c>
      <c r="E706" s="191">
        <v>42475</v>
      </c>
      <c r="F706" s="192" t="s">
        <v>448</v>
      </c>
      <c r="G706" s="456" t="s">
        <v>1008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57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1"/>
      <c r="AC706" s="557" t="str">
        <f>IF(VLOOKUP(F706,NXT!$C$35:$C$411,1,0)=F706,"","x")</f>
        <v/>
      </c>
      <c r="AD706" s="557"/>
    </row>
    <row r="707" spans="1:33" s="211" customFormat="1" ht="15.75" customHeight="1">
      <c r="A707" s="204" t="str">
        <f>IF(B707&lt;&gt;"",IF(AND(B707&gt;=_TM1,B707&lt;=_TM2,OR(TH!L1214="1111",TH!M1214="1111")),TH!D1214,""),"")</f>
        <v/>
      </c>
      <c r="B707" s="818">
        <f t="shared" si="36"/>
        <v>4</v>
      </c>
      <c r="C707" s="819">
        <f t="shared" si="37"/>
        <v>42475</v>
      </c>
      <c r="D707" s="191" t="s">
        <v>1123</v>
      </c>
      <c r="E707" s="191">
        <v>42475</v>
      </c>
      <c r="F707" s="189" t="s">
        <v>1009</v>
      </c>
      <c r="G707" s="456" t="s">
        <v>1008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57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1"/>
      <c r="AC707" s="557" t="str">
        <f>IF(VLOOKUP(F707,NXT!$C$35:$C$411,1,0)=F707,"","x")</f>
        <v/>
      </c>
      <c r="AD707" s="827"/>
      <c r="AE707" s="827" t="s">
        <v>766</v>
      </c>
      <c r="AF707" s="827"/>
      <c r="AG707" s="827"/>
    </row>
    <row r="708" spans="1:33" s="211" customFormat="1" ht="15.75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1123</v>
      </c>
      <c r="E708" s="184">
        <v>42475</v>
      </c>
      <c r="F708" s="189" t="s">
        <v>423</v>
      </c>
      <c r="G708" s="567" t="s">
        <v>1008</v>
      </c>
      <c r="H708" s="193" t="s">
        <v>557</v>
      </c>
      <c r="I708" s="256"/>
      <c r="J708" s="256"/>
      <c r="K708" s="565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57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1"/>
      <c r="AC708" s="557" t="str">
        <f>IF(VLOOKUP(H708,DS_131,1,0)=H708,"","x")</f>
        <v/>
      </c>
      <c r="AD708" s="557"/>
    </row>
    <row r="709" spans="1:33" s="211" customFormat="1" ht="15.75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1124</v>
      </c>
      <c r="E709" s="184">
        <v>42475</v>
      </c>
      <c r="F709" s="189" t="s">
        <v>441</v>
      </c>
      <c r="G709" s="567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57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1"/>
      <c r="AC709" s="557" t="str">
        <f>IF(VLOOKUP(F709,NXT!$C$35:$C$411,1,0)=F709,"","x")</f>
        <v/>
      </c>
    </row>
    <row r="710" spans="1:33" s="211" customFormat="1" ht="15.75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1124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57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1"/>
      <c r="AC710" s="557" t="str">
        <f>IF(VLOOKUP(F710,NXT!$C$35:$C$411,1,0)=F710,"","x")</f>
        <v/>
      </c>
      <c r="AD710" s="557"/>
    </row>
    <row r="711" spans="1:33" s="211" customFormat="1" ht="15.75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1124</v>
      </c>
      <c r="E711" s="191">
        <v>42475</v>
      </c>
      <c r="F711" s="189" t="s">
        <v>1010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57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1"/>
      <c r="AC711" s="557" t="str">
        <f>IF(VLOOKUP(F711,NXT!$C$35:$C$411,1,0)=F711,"","x")</f>
        <v/>
      </c>
    </row>
    <row r="712" spans="1:33" s="211" customFormat="1" ht="15.75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1124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65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57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1"/>
      <c r="AC712" s="557" t="str">
        <f>IF(VLOOKUP(H712,DS_131,1,0)=H712,"","x")</f>
        <v/>
      </c>
      <c r="AD712" s="557"/>
    </row>
    <row r="713" spans="1:33" s="211" customFormat="1" ht="15.75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866</v>
      </c>
      <c r="G713" s="456" t="s">
        <v>867</v>
      </c>
      <c r="H713" s="210" t="s">
        <v>868</v>
      </c>
      <c r="I713" s="256"/>
      <c r="J713" s="256"/>
      <c r="K713" s="565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57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1">
        <v>2</v>
      </c>
      <c r="AC713" s="557"/>
      <c r="AD713" s="557"/>
      <c r="AF713" s="557"/>
      <c r="AG713" s="557"/>
    </row>
    <row r="714" spans="1:33" s="557" customFormat="1" ht="15.75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869</v>
      </c>
      <c r="G714" s="456" t="s">
        <v>867</v>
      </c>
      <c r="H714" s="210" t="s">
        <v>868</v>
      </c>
      <c r="I714" s="256"/>
      <c r="J714" s="256"/>
      <c r="K714" s="565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57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1">
        <v>2</v>
      </c>
      <c r="AE714" s="211"/>
    </row>
    <row r="715" spans="1:33" s="557" customFormat="1" ht="15.75" customHeight="1">
      <c r="A715" s="204" t="str">
        <f>IF(B715&lt;&gt;"",IF(AND(B715&gt;=_TM1,B715&lt;=_TM2,OR(TH!L1222="1111",TH!M1222="1111")),TH!D1222,""),"")</f>
        <v/>
      </c>
      <c r="B715" s="818">
        <f t="shared" si="36"/>
        <v>4</v>
      </c>
      <c r="C715" s="819">
        <f t="shared" si="37"/>
        <v>42478</v>
      </c>
      <c r="D715" s="191"/>
      <c r="E715" s="184">
        <v>42478</v>
      </c>
      <c r="F715" s="192" t="s">
        <v>866</v>
      </c>
      <c r="G715" s="456" t="s">
        <v>870</v>
      </c>
      <c r="H715" s="210" t="s">
        <v>868</v>
      </c>
      <c r="I715" s="256"/>
      <c r="J715" s="256"/>
      <c r="K715" s="565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57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1">
        <v>2</v>
      </c>
      <c r="AC715" s="826"/>
      <c r="AD715" s="827"/>
      <c r="AE715" s="827">
        <v>144000</v>
      </c>
      <c r="AF715" s="826"/>
      <c r="AG715" s="826"/>
    </row>
    <row r="716" spans="1:33" s="557" customFormat="1" ht="15.75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869</v>
      </c>
      <c r="G716" s="456" t="s">
        <v>870</v>
      </c>
      <c r="H716" s="210" t="s">
        <v>868</v>
      </c>
      <c r="I716" s="256"/>
      <c r="J716" s="256"/>
      <c r="K716" s="565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57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1">
        <v>2</v>
      </c>
      <c r="AE716" s="211"/>
    </row>
    <row r="717" spans="1:33" s="557" customFormat="1" ht="15.75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1125</v>
      </c>
      <c r="E717" s="191">
        <v>42478</v>
      </c>
      <c r="F717" s="192" t="s">
        <v>466</v>
      </c>
      <c r="G717" s="456" t="s">
        <v>550</v>
      </c>
      <c r="H717" s="867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57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1"/>
      <c r="AC717" s="557" t="str">
        <f>IF(VLOOKUP(F717,NXT!$C$35:$C$411,1,0)=F717,"","x")</f>
        <v/>
      </c>
      <c r="AE717" s="211"/>
      <c r="AF717" s="211"/>
      <c r="AG717" s="211"/>
    </row>
    <row r="718" spans="1:33" s="557" customFormat="1" ht="15.75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1125</v>
      </c>
      <c r="E718" s="191">
        <v>42478</v>
      </c>
      <c r="F718" s="189" t="s">
        <v>423</v>
      </c>
      <c r="G718" s="456" t="s">
        <v>550</v>
      </c>
      <c r="H718" s="867" t="s">
        <v>595</v>
      </c>
      <c r="I718" s="256"/>
      <c r="J718" s="256"/>
      <c r="K718" s="565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57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1"/>
      <c r="AC718" s="557" t="str">
        <f>IF(VLOOKUP(H718,DS_131,1,0)=H718,"","x")</f>
        <v/>
      </c>
      <c r="AD718" s="211"/>
      <c r="AE718" s="211"/>
      <c r="AF718" s="211"/>
      <c r="AG718" s="211"/>
    </row>
    <row r="719" spans="1:33" s="557" customFormat="1" ht="15.75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1126</v>
      </c>
      <c r="E719" s="191">
        <v>42478</v>
      </c>
      <c r="F719" s="192" t="s">
        <v>579</v>
      </c>
      <c r="G719" s="456" t="s">
        <v>551</v>
      </c>
      <c r="H719" s="7" t="s">
        <v>1011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57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1"/>
      <c r="AC719" s="557" t="str">
        <f>IF(VLOOKUP(F719,NXT!$C$35:$C$411,1,0)=F719,"","x")</f>
        <v/>
      </c>
      <c r="AE719" s="211"/>
      <c r="AF719" s="211"/>
      <c r="AG719" s="211"/>
    </row>
    <row r="720" spans="1:33" s="557" customFormat="1" ht="15.75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1126</v>
      </c>
      <c r="E720" s="191">
        <v>42478</v>
      </c>
      <c r="F720" s="192" t="s">
        <v>423</v>
      </c>
      <c r="G720" s="456" t="s">
        <v>551</v>
      </c>
      <c r="H720" s="7" t="s">
        <v>1011</v>
      </c>
      <c r="I720" s="256"/>
      <c r="J720" s="256"/>
      <c r="K720" s="565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57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1"/>
      <c r="AC720" s="557" t="str">
        <f>IF(VLOOKUP(H720,DS_131,1,0)=H720,"","x")</f>
        <v/>
      </c>
      <c r="AE720" s="211"/>
      <c r="AF720" s="211"/>
      <c r="AG720" s="211"/>
    </row>
    <row r="721" spans="1:33" s="557" customFormat="1" ht="15.75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65">
        <v>14400000</v>
      </c>
      <c r="L721" s="194" t="s">
        <v>24</v>
      </c>
      <c r="M721" s="566" t="s">
        <v>47</v>
      </c>
      <c r="N721" s="52" t="str">
        <f>IF(AND('331-CT'!$E$7=TH!H721,OR(L721="331",M721="331")),"331",IF(AND(OR(L721="131",M721="131"),H721='131-CT'!$E$7),"131",""))</f>
        <v/>
      </c>
      <c r="O721" s="857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1"/>
    </row>
    <row r="722" spans="1:33" s="557" customFormat="1" ht="15.75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65">
        <v>1646637</v>
      </c>
      <c r="L722" s="566" t="s">
        <v>81</v>
      </c>
      <c r="M722" s="566" t="s">
        <v>24</v>
      </c>
      <c r="N722" s="52" t="str">
        <f>IF(AND('331-CT'!$E$7=TH!H722,OR(L722="331",M722="331")),"331",IF(AND(OR(L722="131",M722="131"),H722='131-CT'!$E$7),"131",""))</f>
        <v/>
      </c>
      <c r="O722" s="857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1"/>
    </row>
    <row r="723" spans="1:33" s="557" customFormat="1" ht="15.75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65">
        <v>11179858</v>
      </c>
      <c r="L723" s="566" t="s">
        <v>81</v>
      </c>
      <c r="M723" s="566" t="s">
        <v>24</v>
      </c>
      <c r="N723" s="52" t="str">
        <f>IF(AND('331-CT'!$E$7=TH!H723,OR(L723="331",M723="331")),"331",IF(AND(OR(L723="131",M723="131"),H723='131-CT'!$E$7),"131",""))</f>
        <v/>
      </c>
      <c r="O723" s="857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1"/>
    </row>
    <row r="724" spans="1:33" s="557" customFormat="1" ht="15.75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65">
        <v>2305203</v>
      </c>
      <c r="L724" s="566" t="s">
        <v>81</v>
      </c>
      <c r="M724" s="566" t="s">
        <v>24</v>
      </c>
      <c r="N724" s="52" t="str">
        <f>IF(AND('331-CT'!$E$7=TH!H724,OR(L724="331",M724="331")),"331",IF(AND(OR(L724="131",M724="131"),H724='131-CT'!$E$7),"131",""))</f>
        <v/>
      </c>
      <c r="O724" s="857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1"/>
      <c r="AF724" s="211"/>
      <c r="AG724" s="211"/>
    </row>
    <row r="725" spans="1:33" s="557" customFormat="1" ht="15.75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26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65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57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2"/>
      <c r="AE725" s="211"/>
      <c r="AF725" s="211"/>
      <c r="AG725" s="211"/>
    </row>
    <row r="726" spans="1:33" s="557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65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57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2"/>
      <c r="AF726" s="211"/>
      <c r="AG726" s="211"/>
    </row>
    <row r="727" spans="1:33" s="557" customFormat="1" ht="15.75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65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57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2"/>
      <c r="AD727" s="211"/>
      <c r="AE727" s="211"/>
      <c r="AF727" s="211"/>
      <c r="AG727" s="211"/>
    </row>
    <row r="728" spans="1:33" s="211" customFormat="1" ht="15.75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65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57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1">
        <v>2</v>
      </c>
      <c r="AC728" s="557"/>
      <c r="AD728" s="557"/>
    </row>
    <row r="729" spans="1:33" s="211" customFormat="1" ht="15.75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65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57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1">
        <v>2</v>
      </c>
      <c r="AC729" s="557"/>
      <c r="AD729" s="557"/>
    </row>
    <row r="730" spans="1:33" s="557" customFormat="1" ht="15.75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65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57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1">
        <v>2</v>
      </c>
      <c r="AE730" s="211"/>
      <c r="AF730" s="211"/>
      <c r="AG730" s="211"/>
    </row>
    <row r="731" spans="1:33" s="557" customFormat="1" ht="15.75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65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57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1">
        <v>2</v>
      </c>
      <c r="AE731" s="211"/>
      <c r="AF731" s="211"/>
      <c r="AG731" s="211"/>
    </row>
    <row r="732" spans="1:33" s="557" customFormat="1" ht="15.75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1127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57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1"/>
      <c r="AC732" s="557" t="str">
        <f>IF(VLOOKUP(F732,NXT!$C$35:$C$411,1,0)=F732,"","x")</f>
        <v/>
      </c>
      <c r="AD732" s="211"/>
      <c r="AE732" s="211"/>
      <c r="AF732" s="211"/>
      <c r="AG732" s="211"/>
    </row>
    <row r="733" spans="1:33" s="557" customFormat="1" ht="15.75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1127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57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1"/>
      <c r="AC733" s="557" t="str">
        <f>IF(VLOOKUP(F733,NXT!$C$35:$C$411,1,0)=F733,"","x")</f>
        <v/>
      </c>
      <c r="AE733" s="211"/>
      <c r="AF733" s="211"/>
      <c r="AG733" s="211"/>
    </row>
    <row r="734" spans="1:33" s="557" customFormat="1" ht="15.75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1127</v>
      </c>
      <c r="E734" s="184">
        <v>42479</v>
      </c>
      <c r="F734" s="189" t="s">
        <v>423</v>
      </c>
      <c r="G734" s="567" t="s">
        <v>552</v>
      </c>
      <c r="H734" s="7" t="s">
        <v>814</v>
      </c>
      <c r="I734" s="256"/>
      <c r="J734" s="256"/>
      <c r="K734" s="565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57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1"/>
      <c r="AC734" s="557" t="str">
        <f>IF(VLOOKUP(H734,DS_131,1,0)=H734,"","x")</f>
        <v/>
      </c>
      <c r="AE734" s="211"/>
      <c r="AF734" s="211"/>
      <c r="AG734" s="211"/>
    </row>
    <row r="735" spans="1:33" s="211" customFormat="1" ht="15.75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1128</v>
      </c>
      <c r="E735" s="191">
        <v>42479</v>
      </c>
      <c r="F735" s="192" t="s">
        <v>657</v>
      </c>
      <c r="G735" s="456" t="s">
        <v>1012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57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1"/>
      <c r="AC735" s="557" t="str">
        <f>IF(VLOOKUP(F735,NXT!$C$35:$C$411,1,0)=F735,"","x")</f>
        <v/>
      </c>
      <c r="AD735" s="557"/>
    </row>
    <row r="736" spans="1:33" s="211" customFormat="1" ht="15.75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1128</v>
      </c>
      <c r="E736" s="191">
        <v>42479</v>
      </c>
      <c r="F736" s="192" t="s">
        <v>1474</v>
      </c>
      <c r="G736" s="456" t="s">
        <v>1012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57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1"/>
      <c r="AC736" s="557" t="str">
        <f>IF(VLOOKUP(F736,NXT!$C$35:$C$411,1,0)=F736,"","x")</f>
        <v/>
      </c>
      <c r="AD736" s="557"/>
    </row>
    <row r="737" spans="1:33" s="211" customFormat="1" ht="15.75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1128</v>
      </c>
      <c r="E737" s="191">
        <v>42479</v>
      </c>
      <c r="F737" s="192" t="s">
        <v>430</v>
      </c>
      <c r="G737" s="456" t="s">
        <v>1012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57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1"/>
      <c r="AC737" s="557" t="str">
        <f>IF(VLOOKUP(F737,NXT!$C$35:$C$411,1,0)=F737,"","x")</f>
        <v/>
      </c>
      <c r="AD737" s="557"/>
    </row>
    <row r="738" spans="1:33" s="211" customFormat="1" ht="15.75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1128</v>
      </c>
      <c r="E738" s="191">
        <v>42479</v>
      </c>
      <c r="F738" s="192" t="s">
        <v>423</v>
      </c>
      <c r="G738" s="456" t="s">
        <v>1012</v>
      </c>
      <c r="H738" s="193" t="s">
        <v>429</v>
      </c>
      <c r="I738" s="257"/>
      <c r="J738" s="257"/>
      <c r="K738" s="565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57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1"/>
      <c r="AC738" s="557" t="str">
        <f>IF(VLOOKUP(H738,DS_131,1,0)=H738,"","x")</f>
        <v/>
      </c>
      <c r="AD738" s="557"/>
    </row>
    <row r="739" spans="1:33" s="557" customFormat="1" ht="15.75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66" t="s">
        <v>786</v>
      </c>
      <c r="M739" s="566" t="s">
        <v>24</v>
      </c>
      <c r="N739" s="52" t="str">
        <f>IF(AND('331-CT'!$E$7=TH!H739,OR(L739="331",M739="331")),"331",IF(AND(OR(L739="131",M739="131"),H739='131-CT'!$E$7),"131",""))</f>
        <v/>
      </c>
      <c r="O739" s="857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1"/>
      <c r="AF739" s="211"/>
      <c r="AG739" s="211"/>
    </row>
    <row r="740" spans="1:33" s="557" customFormat="1" ht="15.75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65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57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2"/>
      <c r="AC740" s="557" t="str">
        <f>IF(VLOOKUP(H740,DS_131,1,0)=H740,"","x")</f>
        <v/>
      </c>
      <c r="AE740" s="211"/>
      <c r="AF740" s="211"/>
      <c r="AG740" s="211"/>
    </row>
    <row r="741" spans="1:33" s="557" customFormat="1" ht="15.75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65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57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2"/>
      <c r="AC741" s="557" t="str">
        <f>IF(VLOOKUP(H741,DS_131,1,0)=H741,"","x")</f>
        <v/>
      </c>
      <c r="AE741" s="211"/>
      <c r="AF741" s="211"/>
      <c r="AG741" s="211"/>
    </row>
    <row r="742" spans="1:33" s="557" customFormat="1" ht="15.75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1129</v>
      </c>
      <c r="E742" s="191">
        <v>42481</v>
      </c>
      <c r="F742" s="192" t="s">
        <v>1013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57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1"/>
      <c r="AC742" s="557" t="str">
        <f>IF(VLOOKUP(F742,NXT!$C$35:$C$411,1,0)=F742,"","x")</f>
        <v/>
      </c>
      <c r="AD742" s="211"/>
      <c r="AE742" s="211"/>
      <c r="AF742" s="211"/>
      <c r="AG742" s="211"/>
    </row>
    <row r="743" spans="1:33" s="557" customFormat="1" ht="15.75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1129</v>
      </c>
      <c r="E743" s="191">
        <v>42481</v>
      </c>
      <c r="F743" s="192" t="s">
        <v>1014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57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1"/>
      <c r="AC743" s="557" t="str">
        <f>IF(VLOOKUP(F743,NXT!$C$35:$C$411,1,0)=F743,"","x")</f>
        <v/>
      </c>
      <c r="AE743" s="211"/>
      <c r="AF743" s="211"/>
      <c r="AG743" s="211"/>
    </row>
    <row r="744" spans="1:33" s="557" customFormat="1" ht="15.75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1129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65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57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1"/>
      <c r="AC744" s="557" t="str">
        <f>IF(VLOOKUP(H744,DS_131,1,0)=H744,"","x")</f>
        <v/>
      </c>
      <c r="AE744" s="211"/>
      <c r="AF744" s="211"/>
      <c r="AG744" s="211"/>
    </row>
    <row r="745" spans="1:33" s="557" customFormat="1" ht="15.75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65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57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2"/>
      <c r="AC745" s="557" t="str">
        <f>IF(VLOOKUP(H745,DS_131,1,0)=H745,"","x")</f>
        <v/>
      </c>
      <c r="AE745" s="211"/>
      <c r="AF745" s="211"/>
      <c r="AG745" s="211"/>
    </row>
    <row r="746" spans="1:33" s="557" customFormat="1" ht="15.75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65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57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2"/>
      <c r="AC746" s="557" t="str">
        <f>IF(VLOOKUP(H746,DS_131,1,0)=H746,"","x")</f>
        <v/>
      </c>
      <c r="AE746" s="211"/>
      <c r="AF746" s="211"/>
      <c r="AG746" s="211"/>
    </row>
    <row r="747" spans="1:33" s="557" customFormat="1" ht="15.75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65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57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2"/>
      <c r="AC747" s="557" t="str">
        <f>IF(VLOOKUP(H747,DS_131,1,0)=H747,"","x")</f>
        <v/>
      </c>
      <c r="AE747" s="211"/>
      <c r="AF747" s="211"/>
      <c r="AG747" s="211"/>
    </row>
    <row r="748" spans="1:33" s="557" customFormat="1" ht="15.75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65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57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2"/>
      <c r="AC748" s="557" t="str">
        <f>IF(VLOOKUP(H748,DS_131,1,0)=H748,"","x")</f>
        <v/>
      </c>
      <c r="AD748" s="211"/>
      <c r="AE748" s="211"/>
      <c r="AF748" s="211"/>
      <c r="AG748" s="211"/>
    </row>
    <row r="749" spans="1:33" s="557" customFormat="1" ht="15.75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1130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57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1"/>
      <c r="AC749" s="557" t="str">
        <f>IF(VLOOKUP(F749,NXT!$C$35:$C$411,1,0)=F749,"","x")</f>
        <v/>
      </c>
      <c r="AD749" s="211"/>
      <c r="AE749" s="211"/>
      <c r="AF749" s="211"/>
      <c r="AG749" s="211"/>
    </row>
    <row r="750" spans="1:33" s="557" customFormat="1" ht="15.75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1130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57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1"/>
      <c r="AC750" s="557" t="str">
        <f>IF(VLOOKUP(H750,DS_131,1,0)=H750,"","x")</f>
        <v/>
      </c>
      <c r="AE750" s="211"/>
      <c r="AF750" s="211"/>
      <c r="AG750" s="211"/>
    </row>
    <row r="751" spans="1:33" s="557" customFormat="1" ht="15.75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1131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57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1"/>
      <c r="AC751" s="557" t="str">
        <f>IF(VLOOKUP(F751,NXT!$C$35:$C$411,1,0)=F751,"","x")</f>
        <v/>
      </c>
      <c r="AD751" s="211"/>
      <c r="AE751" s="211"/>
      <c r="AF751" s="211"/>
      <c r="AG751" s="211"/>
    </row>
    <row r="752" spans="1:33" s="557" customFormat="1" ht="15.75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1131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57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1"/>
      <c r="AC752" s="557" t="str">
        <f>IF(VLOOKUP(F752,NXT!$C$35:$C$411,1,0)=F752,"","x")</f>
        <v/>
      </c>
      <c r="AE752" s="211"/>
      <c r="AF752" s="211"/>
      <c r="AG752" s="211"/>
    </row>
    <row r="753" spans="1:33" s="557" customFormat="1" ht="15.75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1131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65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57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1"/>
      <c r="AC753" s="557" t="str">
        <f>IF(VLOOKUP(H753,DS_131,1,0)=H753,"","x")</f>
        <v/>
      </c>
      <c r="AE753" s="211"/>
      <c r="AF753" s="211"/>
      <c r="AG753" s="211"/>
    </row>
    <row r="754" spans="1:33" s="557" customFormat="1" ht="15.75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65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57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2"/>
      <c r="AE754" s="211"/>
      <c r="AF754" s="211"/>
      <c r="AG754" s="211"/>
    </row>
    <row r="755" spans="1:33" s="557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65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57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2"/>
      <c r="AD755" s="211"/>
      <c r="AE755" s="211"/>
      <c r="AF755" s="211"/>
      <c r="AG755" s="211"/>
    </row>
    <row r="756" spans="1:33" s="557" customFormat="1" ht="15.75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65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57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2"/>
      <c r="AE756" s="211"/>
      <c r="AF756" s="211"/>
      <c r="AG756" s="211"/>
    </row>
    <row r="757" spans="1:33" s="557" customFormat="1" ht="15.75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1132</v>
      </c>
      <c r="E757" s="878">
        <v>42485</v>
      </c>
      <c r="F757" s="879" t="s">
        <v>1015</v>
      </c>
      <c r="G757" s="880" t="s">
        <v>558</v>
      </c>
      <c r="H757" s="193" t="s">
        <v>639</v>
      </c>
      <c r="I757" s="881">
        <v>420</v>
      </c>
      <c r="J757" s="881">
        <v>9700</v>
      </c>
      <c r="K757" s="882">
        <f>ROUND(I757*J757,0)</f>
        <v>4074000</v>
      </c>
      <c r="L757" s="883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57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1"/>
      <c r="AC757" s="557" t="str">
        <f>IF(VLOOKUP(F757,NXT!$C$35:$C$411,1,0)=F757,"","x")</f>
        <v/>
      </c>
      <c r="AD757" s="211"/>
      <c r="AE757" s="211"/>
      <c r="AF757" s="211"/>
      <c r="AG757" s="211"/>
    </row>
    <row r="758" spans="1:33" s="557" customFormat="1" ht="15.75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1132</v>
      </c>
      <c r="E758" s="878">
        <v>42485</v>
      </c>
      <c r="F758" s="884" t="s">
        <v>510</v>
      </c>
      <c r="G758" s="880" t="s">
        <v>558</v>
      </c>
      <c r="H758" s="193" t="s">
        <v>639</v>
      </c>
      <c r="I758" s="881">
        <v>371</v>
      </c>
      <c r="J758" s="881">
        <v>9200</v>
      </c>
      <c r="K758" s="882">
        <f>ROUND(I758*J758,0)</f>
        <v>3413200</v>
      </c>
      <c r="L758" s="883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57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1"/>
      <c r="AC758" s="557" t="str">
        <f>IF(VLOOKUP(F758,NXT!$C$35:$C$411,1,0)=F758,"","x")</f>
        <v/>
      </c>
      <c r="AE758" s="211"/>
      <c r="AF758" s="211"/>
      <c r="AG758" s="211"/>
    </row>
    <row r="759" spans="1:33" s="557" customFormat="1" ht="15.75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1132</v>
      </c>
      <c r="E759" s="878">
        <v>42485</v>
      </c>
      <c r="F759" s="885" t="s">
        <v>510</v>
      </c>
      <c r="G759" s="880" t="s">
        <v>558</v>
      </c>
      <c r="H759" s="193" t="s">
        <v>639</v>
      </c>
      <c r="I759" s="881">
        <v>205</v>
      </c>
      <c r="J759" s="881">
        <v>9350</v>
      </c>
      <c r="K759" s="882">
        <f>ROUND(I759*J759,0)</f>
        <v>1916750</v>
      </c>
      <c r="L759" s="883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57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1"/>
      <c r="AC759" s="557" t="str">
        <f>IF(VLOOKUP(F759,NXT!$C$35:$C$411,1,0)=F759,"","x")</f>
        <v/>
      </c>
      <c r="AD759" s="211"/>
      <c r="AE759" s="211"/>
      <c r="AF759" s="211"/>
      <c r="AG759" s="211"/>
    </row>
    <row r="760" spans="1:33" s="557" customFormat="1" ht="15.75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1132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65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57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1"/>
      <c r="AC760" s="557" t="str">
        <f>IF(VLOOKUP(H760,DS_131,1,0)=H760,"","x")</f>
        <v/>
      </c>
      <c r="AE760" s="211"/>
      <c r="AF760" s="211"/>
      <c r="AG760" s="211"/>
    </row>
    <row r="761" spans="1:33" s="557" customFormat="1" ht="15.75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1133</v>
      </c>
      <c r="E761" s="191">
        <v>42485</v>
      </c>
      <c r="F761" s="189" t="s">
        <v>1016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57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1"/>
      <c r="AC761" s="557" t="str">
        <f>IF(VLOOKUP(F761,NXT!$C$35:$C$411,1,0)=F761,"","x")</f>
        <v/>
      </c>
      <c r="AE761" s="211"/>
      <c r="AF761" s="211"/>
      <c r="AG761" s="211"/>
    </row>
    <row r="762" spans="1:33" s="557" customFormat="1" ht="15.75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1133</v>
      </c>
      <c r="E762" s="191">
        <v>42485</v>
      </c>
      <c r="F762" s="192" t="s">
        <v>965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57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1"/>
      <c r="AC762" s="557" t="str">
        <f>IF(VLOOKUP(F762,NXT!$C$35:$C$411,1,0)=F762,"","x")</f>
        <v/>
      </c>
      <c r="AE762" s="211"/>
      <c r="AF762" s="211"/>
      <c r="AG762" s="211"/>
    </row>
    <row r="763" spans="1:33" s="557" customFormat="1" ht="15.75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1133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57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1"/>
      <c r="AC763" s="557" t="str">
        <f>IF(VLOOKUP(F763,NXT!$C$35:$C$411,1,0)=F763,"","x")</f>
        <v/>
      </c>
      <c r="AE763" s="211"/>
      <c r="AF763" s="211"/>
      <c r="AG763" s="211"/>
    </row>
    <row r="764" spans="1:33" s="557" customFormat="1" ht="15.75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1133</v>
      </c>
      <c r="E764" s="191">
        <v>42485</v>
      </c>
      <c r="F764" s="189" t="s">
        <v>1017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57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1"/>
      <c r="AC764" s="557" t="str">
        <f>IF(VLOOKUP(F764,NXT!$C$35:$C$411,1,0)=F764,"","x")</f>
        <v/>
      </c>
      <c r="AE764" s="211"/>
      <c r="AF764" s="211"/>
      <c r="AG764" s="211"/>
    </row>
    <row r="765" spans="1:33" s="557" customFormat="1" ht="15.75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1133</v>
      </c>
      <c r="E765" s="184">
        <v>42485</v>
      </c>
      <c r="F765" s="189" t="s">
        <v>423</v>
      </c>
      <c r="G765" s="567" t="s">
        <v>559</v>
      </c>
      <c r="H765" s="193" t="s">
        <v>639</v>
      </c>
      <c r="I765" s="256"/>
      <c r="J765" s="256"/>
      <c r="K765" s="565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57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1"/>
      <c r="AC765" s="557" t="str">
        <f>IF(VLOOKUP(H765,DS_131,1,0)=H765,"","x")</f>
        <v/>
      </c>
      <c r="AE765" s="211"/>
      <c r="AF765" s="211"/>
      <c r="AG765" s="211"/>
    </row>
    <row r="766" spans="1:33" s="557" customFormat="1" ht="15.75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1316</v>
      </c>
      <c r="I766" s="256"/>
      <c r="J766" s="256"/>
      <c r="K766" s="565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57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2"/>
      <c r="AC766" s="557" t="str">
        <f>IF(VLOOKUP(H766,DS_131,1,0)=H766,"","x")</f>
        <v/>
      </c>
      <c r="AF766" s="211"/>
      <c r="AG766" s="211"/>
    </row>
    <row r="767" spans="1:33" s="557" customFormat="1" ht="15.75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871</v>
      </c>
      <c r="H767" s="193" t="s">
        <v>840</v>
      </c>
      <c r="I767" s="256"/>
      <c r="J767" s="256"/>
      <c r="K767" s="565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57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1">
        <v>2</v>
      </c>
      <c r="AD767" s="211"/>
      <c r="AE767" s="211"/>
    </row>
    <row r="768" spans="1:33" s="557" customFormat="1" ht="15.75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871</v>
      </c>
      <c r="H768" s="193" t="s">
        <v>840</v>
      </c>
      <c r="I768" s="256"/>
      <c r="J768" s="256"/>
      <c r="K768" s="565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57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1">
        <v>2</v>
      </c>
      <c r="AE768" s="211"/>
    </row>
    <row r="769" spans="1:33" s="557" customFormat="1" ht="15.75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1134</v>
      </c>
      <c r="E769" s="878">
        <v>42486</v>
      </c>
      <c r="F769" s="885" t="s">
        <v>1018</v>
      </c>
      <c r="G769" s="880" t="s">
        <v>564</v>
      </c>
      <c r="H769" s="193" t="s">
        <v>639</v>
      </c>
      <c r="I769" s="886">
        <v>105</v>
      </c>
      <c r="J769" s="886">
        <v>8700</v>
      </c>
      <c r="K769" s="882">
        <f>ROUND(I769*J769,0)</f>
        <v>913500</v>
      </c>
      <c r="L769" s="883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57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1"/>
      <c r="AC769" s="557" t="str">
        <f>IF(VLOOKUP(F769,NXT!$C$35:$C$411,1,0)=F769,"","x")</f>
        <v/>
      </c>
      <c r="AE769" s="211"/>
      <c r="AF769" s="211"/>
      <c r="AG769" s="211"/>
    </row>
    <row r="770" spans="1:33" s="557" customFormat="1" ht="15.75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1134</v>
      </c>
      <c r="E770" s="878">
        <v>42486</v>
      </c>
      <c r="F770" s="189" t="s">
        <v>438</v>
      </c>
      <c r="G770" s="880" t="s">
        <v>564</v>
      </c>
      <c r="H770" s="193" t="s">
        <v>639</v>
      </c>
      <c r="I770" s="886">
        <v>125</v>
      </c>
      <c r="J770" s="886">
        <v>9500</v>
      </c>
      <c r="K770" s="882">
        <f>ROUND(I770*J770,0)</f>
        <v>1187500</v>
      </c>
      <c r="L770" s="883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57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1"/>
      <c r="AC770" s="557" t="str">
        <f>IF(VLOOKUP(F770,NXT!$C$35:$C$411,1,0)=F770,"","x")</f>
        <v/>
      </c>
      <c r="AE770" s="211"/>
      <c r="AF770" s="211"/>
      <c r="AG770" s="211"/>
    </row>
    <row r="771" spans="1:33" s="557" customFormat="1" ht="15.75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1134</v>
      </c>
      <c r="E771" s="878">
        <v>42486</v>
      </c>
      <c r="F771" s="885" t="s">
        <v>510</v>
      </c>
      <c r="G771" s="880" t="s">
        <v>564</v>
      </c>
      <c r="H771" s="193" t="s">
        <v>639</v>
      </c>
      <c r="I771" s="886">
        <v>644</v>
      </c>
      <c r="J771" s="886">
        <v>9200</v>
      </c>
      <c r="K771" s="882">
        <f>ROUND(I771*J771,0)</f>
        <v>5924800</v>
      </c>
      <c r="L771" s="883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57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1"/>
      <c r="AC771" s="557" t="str">
        <f>IF(VLOOKUP(F771,NXT!$C$35:$C$411,1,0)=F771,"","x")</f>
        <v/>
      </c>
      <c r="AE771" s="211"/>
      <c r="AF771" s="211"/>
      <c r="AG771" s="211"/>
    </row>
    <row r="772" spans="1:33" s="211" customFormat="1" ht="15.75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1134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65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57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1"/>
      <c r="AC772" s="557" t="str">
        <f>IF(VLOOKUP(H772,DS_131,1,0)=H772,"","x")</f>
        <v/>
      </c>
      <c r="AD772" s="557"/>
    </row>
    <row r="773" spans="1:33" s="211" customFormat="1" ht="15.75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1135</v>
      </c>
      <c r="E773" s="191">
        <v>42486</v>
      </c>
      <c r="F773" s="192" t="s">
        <v>1019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57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1"/>
      <c r="AC773" s="557" t="str">
        <f>IF(VLOOKUP(F773,NXT!$C$35:$C$411,1,0)=F773,"","x")</f>
        <v/>
      </c>
    </row>
    <row r="774" spans="1:33" s="557" customFormat="1" ht="15.75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1135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65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57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1"/>
      <c r="AC774" s="557" t="str">
        <f>IF(VLOOKUP(H774,DS_131,1,0)=H774,"","x")</f>
        <v/>
      </c>
      <c r="AE774" s="211"/>
      <c r="AF774" s="211"/>
      <c r="AG774" s="211"/>
    </row>
    <row r="775" spans="1:33" s="557" customFormat="1" ht="15.75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65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57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2"/>
      <c r="AC775" s="557" t="str">
        <f>IF(VLOOKUP(H775,DS_131,1,0)=H775,"","x")</f>
        <v/>
      </c>
      <c r="AF775" s="211"/>
      <c r="AG775" s="211"/>
    </row>
    <row r="776" spans="1:33" s="557" customFormat="1" ht="15.75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872</v>
      </c>
      <c r="H776" s="7" t="s">
        <v>873</v>
      </c>
      <c r="I776" s="256"/>
      <c r="J776" s="256"/>
      <c r="K776" s="565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57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1">
        <v>2</v>
      </c>
      <c r="AE776" s="211"/>
    </row>
    <row r="777" spans="1:33" s="557" customFormat="1" ht="15.75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872</v>
      </c>
      <c r="H777" s="7" t="s">
        <v>873</v>
      </c>
      <c r="I777" s="256"/>
      <c r="J777" s="256"/>
      <c r="K777" s="565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57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1">
        <v>2</v>
      </c>
      <c r="AD777" s="211"/>
      <c r="AE777" s="211"/>
    </row>
    <row r="778" spans="1:33" s="557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65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57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2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65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57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2"/>
      <c r="AC779" s="557"/>
      <c r="AD779" s="557"/>
    </row>
    <row r="780" spans="1:33" s="211" customFormat="1" ht="15.75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39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57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2"/>
      <c r="AC780" s="557" t="str">
        <f>IF(VLOOKUP(H780,DS_131,1,0)=H780,"","x")</f>
        <v/>
      </c>
      <c r="AD780" s="557"/>
    </row>
    <row r="781" spans="1:33" s="211" customFormat="1" ht="15.75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65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57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1">
        <v>2</v>
      </c>
      <c r="AC781" s="557"/>
      <c r="AD781" s="557"/>
    </row>
    <row r="782" spans="1:33" s="211" customFormat="1" ht="15.75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65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57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1">
        <v>2</v>
      </c>
      <c r="AC782" s="557"/>
    </row>
    <row r="783" spans="1:33" s="557" customFormat="1" ht="15.75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1222</v>
      </c>
      <c r="E783" s="184">
        <v>42489</v>
      </c>
      <c r="F783" s="189" t="s">
        <v>710</v>
      </c>
      <c r="G783" s="456" t="s">
        <v>874</v>
      </c>
      <c r="H783" s="7" t="s">
        <v>1586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57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1">
        <v>2</v>
      </c>
      <c r="AD783" s="211" t="str">
        <f>IF(VLOOKUP(H783,DSKH,1,0)=H783,"","x")</f>
        <v/>
      </c>
      <c r="AE783" s="211"/>
    </row>
    <row r="784" spans="1:33" s="557" customFormat="1" ht="15.75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1222</v>
      </c>
      <c r="E784" s="184">
        <v>42489</v>
      </c>
      <c r="F784" s="189" t="s">
        <v>711</v>
      </c>
      <c r="G784" s="456" t="s">
        <v>874</v>
      </c>
      <c r="H784" s="7" t="s">
        <v>1586</v>
      </c>
      <c r="I784" s="256"/>
      <c r="J784" s="256"/>
      <c r="K784" s="565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57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1">
        <v>2</v>
      </c>
      <c r="AD784" s="211" t="str">
        <f>IF(VLOOKUP(H784,DSKH,1,0)=H784,"","x")</f>
        <v/>
      </c>
      <c r="AE784" s="211"/>
    </row>
    <row r="785" spans="1:33" s="557" customFormat="1" ht="15.75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1136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57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1"/>
      <c r="AC785" s="557" t="str">
        <f>IF(VLOOKUP(F785,NXT!$C$35:$C$411,1,0)=F785,"","x")</f>
        <v/>
      </c>
      <c r="AD785" s="211"/>
      <c r="AE785" s="211"/>
      <c r="AF785" s="211"/>
      <c r="AG785" s="211"/>
    </row>
    <row r="786" spans="1:33" s="557" customFormat="1" ht="15.75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1136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65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57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1"/>
      <c r="AC786" s="557" t="str">
        <f>IF(VLOOKUP(H786,DS_131,1,0)=H786,"","x")</f>
        <v/>
      </c>
      <c r="AE786" s="211"/>
      <c r="AF786" s="211"/>
      <c r="AG786" s="211"/>
    </row>
    <row r="787" spans="1:33" s="557" customFormat="1" ht="15.75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39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65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57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2"/>
      <c r="AC787" s="557" t="str">
        <f>IF(VLOOKUP(H787,DS_131,1,0)=H787,"","x")</f>
        <v/>
      </c>
      <c r="AD787" s="211"/>
      <c r="AE787" s="211"/>
      <c r="AF787" s="211"/>
      <c r="AG787" s="211"/>
    </row>
    <row r="788" spans="1:33" s="557" customFormat="1" ht="15.75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1137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57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1"/>
      <c r="AC788" s="557" t="str">
        <f>IF(VLOOKUP(F788,NXT!$C$35:$C$411,1,0)=F788,"","x")</f>
        <v/>
      </c>
      <c r="AE788" s="211"/>
      <c r="AF788" s="211"/>
      <c r="AG788" s="211"/>
    </row>
    <row r="789" spans="1:33" s="557" customFormat="1" ht="15.75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1137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65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57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1"/>
      <c r="AC789" s="557" t="str">
        <f>IF(VLOOKUP(H789,DS_131,1,0)=H789,"","x")</f>
        <v/>
      </c>
      <c r="AE789" s="211"/>
      <c r="AF789" s="211"/>
      <c r="AG789" s="211"/>
    </row>
    <row r="790" spans="1:33" s="557" customFormat="1" ht="15.75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1138</v>
      </c>
      <c r="E790" s="191">
        <v>42494</v>
      </c>
      <c r="F790" s="192" t="s">
        <v>1469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57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1"/>
      <c r="AC790" s="557" t="str">
        <f>IF(VLOOKUP(F790,NXT!$C$35:$C$411,1,0)=F790,"","x")</f>
        <v/>
      </c>
      <c r="AE790" s="211"/>
      <c r="AF790" s="211"/>
      <c r="AG790" s="211"/>
    </row>
    <row r="791" spans="1:33" s="557" customFormat="1" ht="15.75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1138</v>
      </c>
      <c r="E791" s="191">
        <v>42494</v>
      </c>
      <c r="F791" s="189" t="s">
        <v>1463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57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1"/>
      <c r="AC791" s="557" t="str">
        <f>IF(VLOOKUP(F791,NXT!$C$35:$C$411,1,0)=F791,"","x")</f>
        <v/>
      </c>
      <c r="AE791" s="211"/>
      <c r="AF791" s="211"/>
      <c r="AG791" s="211"/>
    </row>
    <row r="792" spans="1:33" s="557" customFormat="1" ht="15.75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1138</v>
      </c>
      <c r="E792" s="191">
        <v>42494</v>
      </c>
      <c r="F792" s="192" t="s">
        <v>1464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57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1"/>
      <c r="AC792" s="557" t="str">
        <f>IF(VLOOKUP(F792,NXT!$C$35:$C$411,1,0)=F792,"","x")</f>
        <v/>
      </c>
      <c r="AE792" s="211"/>
      <c r="AF792" s="211"/>
      <c r="AG792" s="211"/>
    </row>
    <row r="793" spans="1:33" s="557" customFormat="1" ht="15.75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1138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65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57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1"/>
      <c r="AC793" s="557" t="str">
        <f>IF(VLOOKUP(H793,DS_131,1,0)=H793,"","x")</f>
        <v/>
      </c>
      <c r="AE793" s="211"/>
      <c r="AF793" s="211"/>
      <c r="AG793" s="211"/>
    </row>
    <row r="794" spans="1:33" s="826" customFormat="1" ht="15.75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39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57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2"/>
      <c r="AC794" s="557"/>
      <c r="AD794" s="557"/>
      <c r="AE794" s="211"/>
      <c r="AF794" s="211"/>
      <c r="AG794" s="211"/>
    </row>
    <row r="795" spans="1:33" s="557" customFormat="1" ht="15.75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65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57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2"/>
      <c r="AE795" s="211"/>
      <c r="AF795" s="211"/>
      <c r="AG795" s="211"/>
    </row>
    <row r="796" spans="1:33" s="557" customFormat="1" ht="15.75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65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57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2"/>
      <c r="AE796" s="211"/>
      <c r="AF796" s="211"/>
      <c r="AG796" s="211"/>
    </row>
    <row r="797" spans="1:33" s="557" customFormat="1" ht="15.75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65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57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1">
        <v>2</v>
      </c>
      <c r="AE797" s="211"/>
      <c r="AF797" s="211"/>
      <c r="AG797" s="211"/>
    </row>
    <row r="798" spans="1:33" s="557" customFormat="1" ht="15.75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65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57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1">
        <v>2</v>
      </c>
      <c r="AE798" s="211"/>
      <c r="AF798" s="211"/>
      <c r="AG798" s="211"/>
    </row>
    <row r="799" spans="1:33" s="557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65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57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2"/>
      <c r="AF799" s="211"/>
      <c r="AG799" s="211"/>
    </row>
    <row r="800" spans="1:33" s="557" customFormat="1" ht="15.75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65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57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1">
        <v>2</v>
      </c>
      <c r="AF800" s="211"/>
      <c r="AG800" s="211"/>
    </row>
    <row r="801" spans="1:33" s="557" customFormat="1" ht="15.75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65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57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1">
        <v>2</v>
      </c>
      <c r="AF801" s="211"/>
      <c r="AG801" s="211"/>
    </row>
    <row r="802" spans="1:33" s="557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65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57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2"/>
      <c r="AF802" s="211"/>
      <c r="AG802" s="211"/>
    </row>
    <row r="803" spans="1:33" s="557" customFormat="1" ht="15.75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65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57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1">
        <v>2</v>
      </c>
      <c r="AF803" s="211"/>
      <c r="AG803" s="211"/>
    </row>
    <row r="804" spans="1:33" s="557" customFormat="1" ht="15.75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65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57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1">
        <v>2</v>
      </c>
      <c r="AF804" s="211"/>
      <c r="AG804" s="211"/>
    </row>
    <row r="805" spans="1:33" s="557" customFormat="1" ht="15.75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65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57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1">
        <v>2</v>
      </c>
      <c r="AF805" s="211"/>
      <c r="AG805" s="211"/>
    </row>
    <row r="806" spans="1:33" s="557" customFormat="1" ht="15.75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65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57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1">
        <v>2</v>
      </c>
      <c r="AF806" s="211"/>
      <c r="AG806" s="211"/>
    </row>
    <row r="807" spans="1:33" s="557" customFormat="1" ht="15.75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1223</v>
      </c>
      <c r="E807" s="184">
        <v>42495</v>
      </c>
      <c r="F807" s="192" t="s">
        <v>706</v>
      </c>
      <c r="G807" s="456" t="s">
        <v>671</v>
      </c>
      <c r="H807" s="7" t="s">
        <v>875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57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1">
        <v>2</v>
      </c>
      <c r="AD807" s="211" t="str">
        <f>IF(VLOOKUP(H807,DSKH,1,0)=H807,"","x")</f>
        <v/>
      </c>
      <c r="AE807" s="211"/>
    </row>
    <row r="808" spans="1:33" s="557" customFormat="1" ht="15.75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1223</v>
      </c>
      <c r="E808" s="184">
        <v>42495</v>
      </c>
      <c r="F808" s="192" t="s">
        <v>714</v>
      </c>
      <c r="G808" s="456" t="s">
        <v>671</v>
      </c>
      <c r="H808" s="7" t="s">
        <v>875</v>
      </c>
      <c r="I808" s="256"/>
      <c r="J808" s="256"/>
      <c r="K808" s="565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57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1">
        <v>2</v>
      </c>
      <c r="AD808" s="211" t="str">
        <f>IF(VLOOKUP(H808,DSKH,1,0)=H808,"","x")</f>
        <v/>
      </c>
      <c r="AE808" s="211"/>
    </row>
    <row r="809" spans="1:33" s="557" customFormat="1" ht="15.75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1139</v>
      </c>
      <c r="E809" s="191">
        <v>42495</v>
      </c>
      <c r="F809" s="189" t="s">
        <v>1337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57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1"/>
      <c r="AC809" s="557" t="str">
        <f>IF(VLOOKUP(F809,NXT!$C$35:$C$411,1,0)=F809,"","x")</f>
        <v/>
      </c>
      <c r="AE809" s="211"/>
      <c r="AF809" s="211"/>
      <c r="AG809" s="211"/>
    </row>
    <row r="810" spans="1:33" s="557" customFormat="1" ht="15.75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1139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65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57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1"/>
      <c r="AC810" s="557" t="str">
        <f>IF(VLOOKUP(H810,DS_131,1,0)=H810,"","x")</f>
        <v/>
      </c>
      <c r="AE810" s="211"/>
      <c r="AF810" s="211"/>
      <c r="AG810" s="211"/>
    </row>
    <row r="811" spans="1:33" s="557" customFormat="1" ht="15.75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1140</v>
      </c>
      <c r="E811" s="191">
        <v>42495</v>
      </c>
      <c r="F811" s="192" t="s">
        <v>1020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57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1"/>
      <c r="AC811" s="557" t="str">
        <f>IF(VLOOKUP(F811,NXT!$C$35:$C$411,1,0)=F811,"","x")</f>
        <v/>
      </c>
      <c r="AD811" s="211"/>
      <c r="AE811" s="211"/>
      <c r="AF811" s="211"/>
      <c r="AG811" s="211"/>
    </row>
    <row r="812" spans="1:33" s="557" customFormat="1" ht="15.75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1140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57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1"/>
      <c r="AC812" s="557" t="str">
        <f>IF(VLOOKUP(F812,NXT!$C$35:$C$411,1,0)=F812,"","x")</f>
        <v/>
      </c>
      <c r="AE812" s="211"/>
      <c r="AF812" s="211"/>
      <c r="AG812" s="211"/>
    </row>
    <row r="813" spans="1:33" s="557" customFormat="1" ht="15.75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1140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65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57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1"/>
      <c r="AC813" s="557" t="str">
        <f>IF(VLOOKUP(H813,DS_131,1,0)=H813,"","x")</f>
        <v/>
      </c>
      <c r="AE813" s="211"/>
      <c r="AF813" s="211"/>
      <c r="AG813" s="211"/>
    </row>
    <row r="814" spans="1:33" s="557" customFormat="1" ht="15.75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65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57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2"/>
      <c r="AC814" s="557" t="str">
        <f>IF(VLOOKUP(H814,DS_131,1,0)=H814,"","x")</f>
        <v/>
      </c>
      <c r="AE814" s="211"/>
      <c r="AF814" s="211"/>
      <c r="AG814" s="211"/>
    </row>
    <row r="815" spans="1:33" s="557" customFormat="1" ht="15.75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1224</v>
      </c>
      <c r="E815" s="184">
        <v>42496</v>
      </c>
      <c r="F815" s="192" t="s">
        <v>706</v>
      </c>
      <c r="G815" s="456" t="s">
        <v>672</v>
      </c>
      <c r="H815" s="7" t="s">
        <v>875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57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1">
        <v>2</v>
      </c>
      <c r="AD815" s="211" t="str">
        <f>IF(VLOOKUP(H815,DSKH,1,0)=H815,"","x")</f>
        <v/>
      </c>
      <c r="AE815" s="211"/>
    </row>
    <row r="816" spans="1:33" s="211" customFormat="1" ht="15.75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1224</v>
      </c>
      <c r="E816" s="184">
        <v>42496</v>
      </c>
      <c r="F816" s="192" t="s">
        <v>714</v>
      </c>
      <c r="G816" s="456" t="s">
        <v>672</v>
      </c>
      <c r="H816" s="7" t="s">
        <v>875</v>
      </c>
      <c r="I816" s="256"/>
      <c r="J816" s="256"/>
      <c r="K816" s="565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57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1">
        <v>2</v>
      </c>
      <c r="AC816" s="557"/>
      <c r="AD816" s="211" t="str">
        <f>IF(VLOOKUP(H816,DSKH,1,0)=H816,"","x")</f>
        <v/>
      </c>
      <c r="AF816" s="557"/>
      <c r="AG816" s="557"/>
    </row>
    <row r="817" spans="1:33" s="211" customFormat="1" ht="15.75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1225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57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1">
        <v>2</v>
      </c>
      <c r="AC817" s="557"/>
      <c r="AD817" s="211" t="str">
        <f>IF(VLOOKUP(H817,DSKH,1,0)=H817,"","x")</f>
        <v/>
      </c>
      <c r="AF817" s="557"/>
      <c r="AG817" s="557"/>
    </row>
    <row r="818" spans="1:33" s="557" customFormat="1" ht="15.75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1225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65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57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1">
        <v>2</v>
      </c>
      <c r="AD818" s="211" t="str">
        <f>IF(VLOOKUP(H818,DSKH,1,0)=H818,"","x")</f>
        <v/>
      </c>
      <c r="AE818" s="211"/>
    </row>
    <row r="819" spans="1:33" s="557" customFormat="1" ht="15.75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1141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57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1"/>
      <c r="AC819" s="557" t="str">
        <f>IF(VLOOKUP(F819,NXT!$C$35:$C$411,1,0)=F819,"","x")</f>
        <v/>
      </c>
      <c r="AE819" s="211"/>
      <c r="AF819" s="211"/>
      <c r="AG819" s="211"/>
    </row>
    <row r="820" spans="1:33" s="557" customFormat="1" ht="15.75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1141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65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57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1"/>
      <c r="AC820" s="557" t="str">
        <f>IF(VLOOKUP(H820,DS_131,1,0)=H820,"","x")</f>
        <v/>
      </c>
      <c r="AD820" s="211"/>
      <c r="AE820" s="211"/>
      <c r="AF820" s="211"/>
      <c r="AG820" s="211"/>
    </row>
    <row r="821" spans="1:33" s="557" customFormat="1" ht="15.75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1142</v>
      </c>
      <c r="E821" s="878">
        <v>42496</v>
      </c>
      <c r="F821" s="40" t="s">
        <v>710</v>
      </c>
      <c r="G821" s="880" t="s">
        <v>572</v>
      </c>
      <c r="H821" s="749" t="s">
        <v>808</v>
      </c>
      <c r="I821" s="881">
        <v>200</v>
      </c>
      <c r="J821" s="881">
        <v>9300</v>
      </c>
      <c r="K821" s="882">
        <f t="shared" ref="K821:K829" si="40">ROUND(I821*J821,0)</f>
        <v>1860000</v>
      </c>
      <c r="L821" s="883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57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1"/>
      <c r="AE821" s="211"/>
      <c r="AF821" s="211"/>
      <c r="AG821" s="211"/>
    </row>
    <row r="822" spans="1:33" s="557" customFormat="1" ht="15.75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1142</v>
      </c>
      <c r="E822" s="878">
        <v>42496</v>
      </c>
      <c r="F822" s="885" t="s">
        <v>1021</v>
      </c>
      <c r="G822" s="880" t="s">
        <v>572</v>
      </c>
      <c r="H822" s="749" t="s">
        <v>808</v>
      </c>
      <c r="I822" s="881">
        <v>46</v>
      </c>
      <c r="J822" s="881">
        <v>7600</v>
      </c>
      <c r="K822" s="882">
        <f t="shared" si="40"/>
        <v>349600</v>
      </c>
      <c r="L822" s="883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57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1"/>
      <c r="AC822" s="557" t="str">
        <f>IF(VLOOKUP(F822,NXT!$C$35:$C$411,1,0)=F822,"","x")</f>
        <v/>
      </c>
      <c r="AE822" s="211"/>
      <c r="AF822" s="211"/>
      <c r="AG822" s="211"/>
    </row>
    <row r="823" spans="1:33" s="557" customFormat="1" ht="15.75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1142</v>
      </c>
      <c r="E823" s="878">
        <v>42496</v>
      </c>
      <c r="F823" s="885" t="s">
        <v>1022</v>
      </c>
      <c r="G823" s="880" t="s">
        <v>572</v>
      </c>
      <c r="H823" s="749" t="s">
        <v>808</v>
      </c>
      <c r="I823" s="881">
        <v>53</v>
      </c>
      <c r="J823" s="881">
        <v>31300</v>
      </c>
      <c r="K823" s="882">
        <f t="shared" si="40"/>
        <v>1658900</v>
      </c>
      <c r="L823" s="883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57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1"/>
      <c r="AC823" s="557" t="str">
        <f>IF(VLOOKUP(F823,NXT!$C$35:$C$411,1,0)=F823,"","x")</f>
        <v/>
      </c>
      <c r="AD823" s="211"/>
      <c r="AE823" s="211"/>
      <c r="AF823" s="211"/>
      <c r="AG823" s="211"/>
    </row>
    <row r="824" spans="1:33" s="557" customFormat="1" ht="15.75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1142</v>
      </c>
      <c r="E824" s="878">
        <v>42496</v>
      </c>
      <c r="F824" s="885" t="s">
        <v>1023</v>
      </c>
      <c r="G824" s="880" t="s">
        <v>572</v>
      </c>
      <c r="H824" s="749" t="s">
        <v>808</v>
      </c>
      <c r="I824" s="881">
        <v>53</v>
      </c>
      <c r="J824" s="881">
        <v>27000</v>
      </c>
      <c r="K824" s="882">
        <f t="shared" si="40"/>
        <v>1431000</v>
      </c>
      <c r="L824" s="883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57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1"/>
      <c r="AC824" s="557" t="str">
        <f>IF(VLOOKUP(F824,NXT!$C$35:$C$411,1,0)=F824,"","x")</f>
        <v/>
      </c>
      <c r="AE824" s="211"/>
      <c r="AF824" s="211"/>
      <c r="AG824" s="211"/>
    </row>
    <row r="825" spans="1:33" s="557" customFormat="1" ht="15.75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1142</v>
      </c>
      <c r="E825" s="878">
        <v>42496</v>
      </c>
      <c r="F825" s="885" t="s">
        <v>1023</v>
      </c>
      <c r="G825" s="880" t="s">
        <v>572</v>
      </c>
      <c r="H825" s="749" t="s">
        <v>808</v>
      </c>
      <c r="I825" s="881">
        <v>54</v>
      </c>
      <c r="J825" s="881">
        <v>22200</v>
      </c>
      <c r="K825" s="882">
        <f t="shared" si="40"/>
        <v>1198800</v>
      </c>
      <c r="L825" s="883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57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1"/>
      <c r="AC825" s="557" t="str">
        <f>IF(VLOOKUP(F825,NXT!$C$35:$C$411,1,0)=F825,"","x")</f>
        <v/>
      </c>
      <c r="AD825" s="211"/>
      <c r="AE825" s="211"/>
      <c r="AF825" s="211"/>
      <c r="AG825" s="211"/>
    </row>
    <row r="826" spans="1:33" s="557" customFormat="1" ht="15.75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1142</v>
      </c>
      <c r="E826" s="878">
        <v>42496</v>
      </c>
      <c r="F826" s="885" t="s">
        <v>1024</v>
      </c>
      <c r="G826" s="880" t="s">
        <v>572</v>
      </c>
      <c r="H826" s="749" t="s">
        <v>808</v>
      </c>
      <c r="I826" s="887">
        <v>51</v>
      </c>
      <c r="J826" s="887">
        <v>40300</v>
      </c>
      <c r="K826" s="882">
        <f t="shared" si="40"/>
        <v>2055300</v>
      </c>
      <c r="L826" s="883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57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1"/>
      <c r="AC826" s="557" t="str">
        <f>IF(VLOOKUP(F826,NXT!$C$35:$C$411,1,0)=F826,"","x")</f>
        <v/>
      </c>
      <c r="AE826" s="211"/>
      <c r="AF826" s="211"/>
      <c r="AG826" s="211"/>
    </row>
    <row r="827" spans="1:33" s="557" customFormat="1" ht="15.75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1142</v>
      </c>
      <c r="E827" s="878">
        <v>42496</v>
      </c>
      <c r="F827" s="885" t="s">
        <v>1025</v>
      </c>
      <c r="G827" s="880" t="s">
        <v>572</v>
      </c>
      <c r="H827" s="749" t="s">
        <v>808</v>
      </c>
      <c r="I827" s="881">
        <v>108</v>
      </c>
      <c r="J827" s="881">
        <v>13100</v>
      </c>
      <c r="K827" s="882">
        <f t="shared" si="40"/>
        <v>1414800</v>
      </c>
      <c r="L827" s="883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57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1"/>
      <c r="AC827" s="557" t="str">
        <f>IF(VLOOKUP(F827,NXT!$C$35:$C$411,1,0)=F827,"","x")</f>
        <v/>
      </c>
      <c r="AD827" s="211"/>
      <c r="AE827" s="211"/>
      <c r="AF827" s="211"/>
      <c r="AG827" s="211"/>
    </row>
    <row r="828" spans="1:33" s="557" customFormat="1" ht="15.75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1142</v>
      </c>
      <c r="E828" s="878">
        <v>42496</v>
      </c>
      <c r="F828" s="885" t="s">
        <v>1026</v>
      </c>
      <c r="G828" s="880" t="s">
        <v>572</v>
      </c>
      <c r="H828" s="749" t="s">
        <v>808</v>
      </c>
      <c r="I828" s="887">
        <v>37</v>
      </c>
      <c r="J828" s="887">
        <v>9000</v>
      </c>
      <c r="K828" s="882">
        <f t="shared" si="40"/>
        <v>333000</v>
      </c>
      <c r="L828" s="883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57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1"/>
      <c r="AC828" s="557" t="str">
        <f>IF(VLOOKUP(F828,NXT!$C$35:$C$411,1,0)=F828,"","x")</f>
        <v/>
      </c>
      <c r="AE828" s="211"/>
      <c r="AF828" s="211"/>
      <c r="AG828" s="211"/>
    </row>
    <row r="829" spans="1:33" s="557" customFormat="1" ht="15.75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1142</v>
      </c>
      <c r="E829" s="878">
        <v>42496</v>
      </c>
      <c r="F829" s="885" t="s">
        <v>1027</v>
      </c>
      <c r="G829" s="880" t="s">
        <v>572</v>
      </c>
      <c r="H829" s="749" t="s">
        <v>808</v>
      </c>
      <c r="I829" s="881">
        <v>50</v>
      </c>
      <c r="J829" s="881">
        <v>20000</v>
      </c>
      <c r="K829" s="882">
        <f t="shared" si="40"/>
        <v>1000000</v>
      </c>
      <c r="L829" s="883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57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1"/>
      <c r="AC829" s="557" t="str">
        <f>IF(VLOOKUP(F829,NXT!$C$35:$C$411,1,0)=F829,"","x")</f>
        <v/>
      </c>
      <c r="AD829" s="211"/>
      <c r="AE829" s="211"/>
      <c r="AF829" s="211"/>
      <c r="AG829" s="211"/>
    </row>
    <row r="830" spans="1:33" s="557" customFormat="1" ht="15.75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1142</v>
      </c>
      <c r="E830" s="878">
        <v>42496</v>
      </c>
      <c r="F830" s="885" t="s">
        <v>423</v>
      </c>
      <c r="G830" s="880" t="s">
        <v>572</v>
      </c>
      <c r="H830" s="749" t="s">
        <v>808</v>
      </c>
      <c r="I830" s="881"/>
      <c r="J830" s="881"/>
      <c r="K830" s="888">
        <v>1130140</v>
      </c>
      <c r="L830" s="883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57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1"/>
      <c r="AC830" s="557" t="str">
        <f>IF(VLOOKUP(H830,DS_131,1,0)=H830,"","x")</f>
        <v/>
      </c>
      <c r="AE830" s="211"/>
      <c r="AF830" s="211"/>
      <c r="AG830" s="211"/>
    </row>
    <row r="831" spans="1:33" s="557" customFormat="1" ht="15.75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1143</v>
      </c>
      <c r="E831" s="191">
        <v>42496</v>
      </c>
      <c r="F831" s="192" t="s">
        <v>1028</v>
      </c>
      <c r="G831" s="456" t="s">
        <v>573</v>
      </c>
      <c r="H831" s="749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57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1"/>
      <c r="AC831" s="557" t="str">
        <f>IF(VLOOKUP(F831,NXT!$C$35:$C$411,1,0)=F831,"","x")</f>
        <v/>
      </c>
      <c r="AE831" s="211"/>
      <c r="AF831" s="211"/>
      <c r="AG831" s="211"/>
    </row>
    <row r="832" spans="1:33" s="557" customFormat="1" ht="15.75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1143</v>
      </c>
      <c r="E832" s="191">
        <v>42496</v>
      </c>
      <c r="F832" s="192" t="s">
        <v>1029</v>
      </c>
      <c r="G832" s="456" t="s">
        <v>573</v>
      </c>
      <c r="H832" s="749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57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1"/>
      <c r="AC832" s="557" t="str">
        <f>IF(VLOOKUP(F832,NXT!$C$35:$C$411,1,0)=F832,"","x")</f>
        <v/>
      </c>
      <c r="AD832" s="211"/>
      <c r="AE832" s="211"/>
      <c r="AF832" s="211"/>
      <c r="AG832" s="211"/>
    </row>
    <row r="833" spans="1:33" s="557" customFormat="1" ht="15.75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1143</v>
      </c>
      <c r="E833" s="739">
        <v>42496</v>
      </c>
      <c r="F833" s="189" t="s">
        <v>1030</v>
      </c>
      <c r="G833" s="456" t="s">
        <v>573</v>
      </c>
      <c r="H833" s="749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57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1"/>
      <c r="AC833" s="557" t="str">
        <f>IF(VLOOKUP(F833,NXT!$C$35:$C$411,1,0)=F833,"","x")</f>
        <v/>
      </c>
      <c r="AE833" s="211"/>
      <c r="AF833" s="211"/>
      <c r="AG833" s="211"/>
    </row>
    <row r="834" spans="1:33" s="557" customFormat="1" ht="15.75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1143</v>
      </c>
      <c r="E834" s="739">
        <v>42496</v>
      </c>
      <c r="F834" s="189" t="s">
        <v>1031</v>
      </c>
      <c r="G834" s="456" t="s">
        <v>573</v>
      </c>
      <c r="H834" s="749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57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1"/>
      <c r="AC834" s="557" t="str">
        <f>IF(VLOOKUP(F834,NXT!$C$35:$C$411,1,0)=F834,"","x")</f>
        <v/>
      </c>
      <c r="AE834" s="211"/>
      <c r="AF834" s="211"/>
      <c r="AG834" s="211"/>
    </row>
    <row r="835" spans="1:33" s="557" customFormat="1" ht="15.75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1143</v>
      </c>
      <c r="E835" s="739">
        <v>42496</v>
      </c>
      <c r="F835" s="189" t="s">
        <v>1032</v>
      </c>
      <c r="G835" s="456" t="s">
        <v>573</v>
      </c>
      <c r="H835" s="749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57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1"/>
      <c r="AC835" s="557" t="str">
        <f>IF(VLOOKUP(F835,NXT!$C$35:$C$411,1,0)=F835,"","x")</f>
        <v/>
      </c>
      <c r="AE835" s="211"/>
      <c r="AF835" s="211"/>
      <c r="AG835" s="211"/>
    </row>
    <row r="836" spans="1:33" s="557" customFormat="1" ht="15.75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1143</v>
      </c>
      <c r="E836" s="184">
        <v>42496</v>
      </c>
      <c r="F836" s="192" t="s">
        <v>1033</v>
      </c>
      <c r="G836" s="456" t="s">
        <v>573</v>
      </c>
      <c r="H836" s="749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57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1"/>
      <c r="AC836" s="557" t="str">
        <f>IF(VLOOKUP(F836,NXT!$C$35:$C$411,1,0)=F836,"","x")</f>
        <v/>
      </c>
      <c r="AD836" s="211"/>
      <c r="AE836" s="211"/>
      <c r="AF836" s="211"/>
      <c r="AG836" s="211"/>
    </row>
    <row r="837" spans="1:33" s="557" customFormat="1" ht="15.75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1143</v>
      </c>
      <c r="E837" s="184">
        <v>42496</v>
      </c>
      <c r="F837" s="189" t="s">
        <v>1034</v>
      </c>
      <c r="G837" s="456" t="s">
        <v>573</v>
      </c>
      <c r="H837" s="749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57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1"/>
      <c r="AC837" s="557" t="str">
        <f>IF(VLOOKUP(F837,NXT!$C$35:$C$411,1,0)=F837,"","x")</f>
        <v/>
      </c>
      <c r="AE837" s="211"/>
      <c r="AF837" s="211"/>
      <c r="AG837" s="211"/>
    </row>
    <row r="838" spans="1:33" s="557" customFormat="1" ht="15.75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1143</v>
      </c>
      <c r="E838" s="184">
        <v>42496</v>
      </c>
      <c r="F838" s="189" t="s">
        <v>1035</v>
      </c>
      <c r="G838" s="456" t="s">
        <v>573</v>
      </c>
      <c r="H838" s="749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57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1"/>
      <c r="AC838" s="557" t="str">
        <f>IF(VLOOKUP(F838,NXT!$C$35:$C$411,1,0)=F838,"","x")</f>
        <v/>
      </c>
      <c r="AD838" s="211"/>
      <c r="AE838" s="211"/>
      <c r="AF838" s="211"/>
      <c r="AG838" s="211"/>
    </row>
    <row r="839" spans="1:33" s="557" customFormat="1" ht="15.75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1143</v>
      </c>
      <c r="E839" s="184">
        <v>42496</v>
      </c>
      <c r="F839" s="189" t="s">
        <v>1036</v>
      </c>
      <c r="G839" s="456" t="s">
        <v>573</v>
      </c>
      <c r="H839" s="749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57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1"/>
      <c r="AC839" s="557" t="str">
        <f>IF(VLOOKUP(F839,NXT!$C$35:$C$411,1,0)=F839,"","x")</f>
        <v/>
      </c>
      <c r="AE839" s="211"/>
      <c r="AF839" s="211"/>
      <c r="AG839" s="211"/>
    </row>
    <row r="840" spans="1:33" s="557" customFormat="1" ht="15.75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1143</v>
      </c>
      <c r="E840" s="184">
        <v>42496</v>
      </c>
      <c r="F840" s="189" t="s">
        <v>423</v>
      </c>
      <c r="G840" s="456" t="s">
        <v>573</v>
      </c>
      <c r="H840" s="749" t="s">
        <v>808</v>
      </c>
      <c r="I840" s="256"/>
      <c r="J840" s="256"/>
      <c r="K840" s="565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57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1"/>
      <c r="AC840" s="557" t="str">
        <f>IF(VLOOKUP(H840,DS_131,1,0)=H840,"","x")</f>
        <v/>
      </c>
      <c r="AD840" s="211"/>
      <c r="AE840" s="211"/>
      <c r="AF840" s="211"/>
      <c r="AG840" s="211"/>
    </row>
    <row r="841" spans="1:33" s="557" customFormat="1" ht="15.75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65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57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2"/>
      <c r="AF841" s="211"/>
      <c r="AG841" s="211"/>
    </row>
    <row r="842" spans="1:33" s="557" customFormat="1" ht="15.75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1144</v>
      </c>
      <c r="E842" s="877">
        <v>42497</v>
      </c>
      <c r="F842" s="884" t="s">
        <v>1037</v>
      </c>
      <c r="G842" s="880" t="s">
        <v>575</v>
      </c>
      <c r="H842" s="749" t="s">
        <v>808</v>
      </c>
      <c r="I842" s="881">
        <v>20</v>
      </c>
      <c r="J842" s="881">
        <v>13200</v>
      </c>
      <c r="K842" s="882">
        <f t="shared" ref="K842:K850" si="44">ROUND(I842*J842,0)</f>
        <v>264000</v>
      </c>
      <c r="L842" s="883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57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1"/>
      <c r="AC842" s="557" t="str">
        <f>IF(VLOOKUP(F842,NXT!$C$35:$C$411,1,0)=F842,"","x")</f>
        <v/>
      </c>
      <c r="AE842" s="211"/>
      <c r="AF842" s="211"/>
      <c r="AG842" s="211"/>
    </row>
    <row r="843" spans="1:33" s="557" customFormat="1" ht="15.75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1144</v>
      </c>
      <c r="E843" s="877">
        <v>42497</v>
      </c>
      <c r="F843" s="884" t="s">
        <v>1038</v>
      </c>
      <c r="G843" s="880" t="s">
        <v>575</v>
      </c>
      <c r="H843" s="749" t="s">
        <v>808</v>
      </c>
      <c r="I843" s="881">
        <v>20</v>
      </c>
      <c r="J843" s="881">
        <v>17000</v>
      </c>
      <c r="K843" s="882">
        <f t="shared" si="44"/>
        <v>340000</v>
      </c>
      <c r="L843" s="883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57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1"/>
      <c r="AC843" s="557" t="str">
        <f>IF(VLOOKUP(F843,NXT!$C$35:$C$411,1,0)=F843,"","x")</f>
        <v/>
      </c>
      <c r="AE843" s="211"/>
      <c r="AF843" s="211"/>
      <c r="AG843" s="211"/>
    </row>
    <row r="844" spans="1:33" s="557" customFormat="1" ht="15.75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1144</v>
      </c>
      <c r="E844" s="877">
        <v>42497</v>
      </c>
      <c r="F844" s="884" t="s">
        <v>986</v>
      </c>
      <c r="G844" s="880" t="s">
        <v>575</v>
      </c>
      <c r="H844" s="749" t="s">
        <v>808</v>
      </c>
      <c r="I844" s="881">
        <v>107</v>
      </c>
      <c r="J844" s="881">
        <v>15400</v>
      </c>
      <c r="K844" s="882">
        <f t="shared" si="44"/>
        <v>1647800</v>
      </c>
      <c r="L844" s="883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57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1"/>
      <c r="AC844" s="557" t="str">
        <f>IF(VLOOKUP(F844,NXT!$C$35:$C$411,1,0)=F844,"","x")</f>
        <v/>
      </c>
      <c r="AD844" s="211"/>
      <c r="AE844" s="211"/>
      <c r="AF844" s="211"/>
      <c r="AG844" s="211"/>
    </row>
    <row r="845" spans="1:33" s="557" customFormat="1" ht="15.75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1144</v>
      </c>
      <c r="E845" s="877">
        <v>42497</v>
      </c>
      <c r="F845" s="884" t="s">
        <v>1039</v>
      </c>
      <c r="G845" s="880" t="s">
        <v>575</v>
      </c>
      <c r="H845" s="749" t="s">
        <v>808</v>
      </c>
      <c r="I845" s="881">
        <v>26</v>
      </c>
      <c r="J845" s="881">
        <v>15000</v>
      </c>
      <c r="K845" s="882">
        <f t="shared" si="44"/>
        <v>390000</v>
      </c>
      <c r="L845" s="883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57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1"/>
      <c r="AC845" s="557" t="str">
        <f>IF(VLOOKUP(F845,NXT!$C$35:$C$411,1,0)=F845,"","x")</f>
        <v/>
      </c>
      <c r="AE845" s="211"/>
      <c r="AF845" s="211"/>
      <c r="AG845" s="211"/>
    </row>
    <row r="846" spans="1:33" s="557" customFormat="1" ht="15.75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1144</v>
      </c>
      <c r="E846" s="877">
        <v>42497</v>
      </c>
      <c r="F846" s="885" t="s">
        <v>1040</v>
      </c>
      <c r="G846" s="880" t="s">
        <v>575</v>
      </c>
      <c r="H846" s="749" t="s">
        <v>808</v>
      </c>
      <c r="I846" s="881">
        <v>52</v>
      </c>
      <c r="J846" s="881">
        <v>16700</v>
      </c>
      <c r="K846" s="882">
        <f t="shared" si="44"/>
        <v>868400</v>
      </c>
      <c r="L846" s="883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57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1"/>
      <c r="AC846" s="557" t="str">
        <f>IF(VLOOKUP(F846,NXT!$C$35:$C$411,1,0)=F846,"","x")</f>
        <v/>
      </c>
      <c r="AE846" s="211"/>
      <c r="AF846" s="211"/>
      <c r="AG846" s="211"/>
    </row>
    <row r="847" spans="1:33" s="557" customFormat="1" ht="15.75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1144</v>
      </c>
      <c r="E847" s="877">
        <v>42497</v>
      </c>
      <c r="F847" s="884" t="s">
        <v>1041</v>
      </c>
      <c r="G847" s="880" t="s">
        <v>575</v>
      </c>
      <c r="H847" s="749" t="s">
        <v>808</v>
      </c>
      <c r="I847" s="881">
        <v>52</v>
      </c>
      <c r="J847" s="881">
        <v>58000</v>
      </c>
      <c r="K847" s="882">
        <f t="shared" si="44"/>
        <v>3016000</v>
      </c>
      <c r="L847" s="883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57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1"/>
      <c r="AC847" s="557" t="str">
        <f>IF(VLOOKUP(F847,NXT!$C$35:$C$411,1,0)=F847,"","x")</f>
        <v/>
      </c>
      <c r="AD847" s="211"/>
      <c r="AE847" s="211"/>
      <c r="AF847" s="211"/>
      <c r="AG847" s="211"/>
    </row>
    <row r="848" spans="1:33" s="557" customFormat="1" ht="15.75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1144</v>
      </c>
      <c r="E848" s="877">
        <v>42497</v>
      </c>
      <c r="F848" s="884" t="s">
        <v>1042</v>
      </c>
      <c r="G848" s="880" t="s">
        <v>575</v>
      </c>
      <c r="H848" s="749" t="s">
        <v>808</v>
      </c>
      <c r="I848" s="881">
        <v>51</v>
      </c>
      <c r="J848" s="881">
        <v>49950</v>
      </c>
      <c r="K848" s="882">
        <f t="shared" si="44"/>
        <v>2547450</v>
      </c>
      <c r="L848" s="883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57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1"/>
      <c r="AC848" s="557" t="str">
        <f>IF(VLOOKUP(F848,NXT!$C$35:$C$411,1,0)=F848,"","x")</f>
        <v/>
      </c>
      <c r="AE848" s="211"/>
      <c r="AF848" s="211"/>
      <c r="AG848" s="211"/>
    </row>
    <row r="849" spans="1:33" s="557" customFormat="1" ht="15.75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1144</v>
      </c>
      <c r="E849" s="877">
        <v>42497</v>
      </c>
      <c r="F849" s="884" t="s">
        <v>1043</v>
      </c>
      <c r="G849" s="880" t="s">
        <v>575</v>
      </c>
      <c r="H849" s="749" t="s">
        <v>808</v>
      </c>
      <c r="I849" s="881">
        <v>56</v>
      </c>
      <c r="J849" s="881">
        <v>26000</v>
      </c>
      <c r="K849" s="882">
        <f t="shared" si="44"/>
        <v>1456000</v>
      </c>
      <c r="L849" s="883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57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1"/>
      <c r="AC849" s="557" t="str">
        <f>IF(VLOOKUP(F849,NXT!$C$35:$C$411,1,0)=F849,"","x")</f>
        <v/>
      </c>
      <c r="AE849" s="211"/>
      <c r="AF849" s="211"/>
      <c r="AG849" s="211"/>
    </row>
    <row r="850" spans="1:33" s="557" customFormat="1" ht="15.75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1144</v>
      </c>
      <c r="E850" s="877">
        <v>42497</v>
      </c>
      <c r="F850" s="884" t="s">
        <v>1044</v>
      </c>
      <c r="G850" s="880" t="s">
        <v>575</v>
      </c>
      <c r="H850" s="749" t="s">
        <v>808</v>
      </c>
      <c r="I850" s="881">
        <v>50</v>
      </c>
      <c r="J850" s="881">
        <v>31900</v>
      </c>
      <c r="K850" s="882">
        <f t="shared" si="44"/>
        <v>1595000</v>
      </c>
      <c r="L850" s="883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57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1"/>
      <c r="AC850" s="557" t="str">
        <f>IF(VLOOKUP(F850,NXT!$C$35:$C$411,1,0)=F850,"","x")</f>
        <v/>
      </c>
      <c r="AE850" s="211"/>
      <c r="AF850" s="211"/>
      <c r="AG850" s="211"/>
    </row>
    <row r="851" spans="1:33" s="557" customFormat="1" ht="15.75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1144</v>
      </c>
      <c r="E851" s="877">
        <v>42497</v>
      </c>
      <c r="F851" s="884" t="s">
        <v>423</v>
      </c>
      <c r="G851" s="880" t="s">
        <v>575</v>
      </c>
      <c r="H851" s="749" t="s">
        <v>808</v>
      </c>
      <c r="I851" s="881"/>
      <c r="J851" s="881"/>
      <c r="K851" s="888">
        <v>1192065</v>
      </c>
      <c r="L851" s="883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57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1"/>
      <c r="AC851" s="557" t="str">
        <f>IF(VLOOKUP(H851,DS_131,1,0)=H851,"","x")</f>
        <v/>
      </c>
      <c r="AD851" s="211"/>
      <c r="AE851" s="211"/>
      <c r="AF851" s="211"/>
      <c r="AG851" s="211"/>
    </row>
    <row r="852" spans="1:33" s="211" customFormat="1" ht="15.75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1145</v>
      </c>
      <c r="E852" s="184">
        <v>42499</v>
      </c>
      <c r="F852" s="192" t="s">
        <v>466</v>
      </c>
      <c r="G852" s="456" t="s">
        <v>576</v>
      </c>
      <c r="H852" s="867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57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1"/>
      <c r="AC852" s="557" t="str">
        <f>IF(VLOOKUP(F852,NXT!$C$35:$C$411,1,0)=F852,"","x")</f>
        <v/>
      </c>
      <c r="AD852" s="557"/>
    </row>
    <row r="853" spans="1:33" s="211" customFormat="1" ht="15.75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1145</v>
      </c>
      <c r="E853" s="184">
        <v>42499</v>
      </c>
      <c r="F853" s="192" t="s">
        <v>466</v>
      </c>
      <c r="G853" s="456" t="s">
        <v>576</v>
      </c>
      <c r="H853" s="867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57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1"/>
      <c r="AC853" s="557" t="str">
        <f>IF(VLOOKUP(F853,NXT!$C$35:$C$411,1,0)=F853,"","x")</f>
        <v/>
      </c>
      <c r="AD853" s="557"/>
    </row>
    <row r="854" spans="1:33" s="557" customFormat="1" ht="15.75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1145</v>
      </c>
      <c r="E854" s="184">
        <v>42499</v>
      </c>
      <c r="F854" s="189" t="s">
        <v>423</v>
      </c>
      <c r="G854" s="456" t="s">
        <v>576</v>
      </c>
      <c r="H854" s="867" t="s">
        <v>595</v>
      </c>
      <c r="I854" s="256"/>
      <c r="J854" s="256"/>
      <c r="K854" s="565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57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1"/>
      <c r="AC854" s="557" t="str">
        <f>IF(VLOOKUP(H854,DS_131,1,0)=H854,"","x")</f>
        <v/>
      </c>
      <c r="AD854" s="211"/>
      <c r="AE854" s="211"/>
      <c r="AF854" s="211"/>
      <c r="AG854" s="211"/>
    </row>
    <row r="855" spans="1:33" s="557" customFormat="1" ht="15.75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1146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57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1"/>
      <c r="AC855" s="557" t="str">
        <f>IF(VLOOKUP(F855,NXT!$C$35:$C$411,1,0)=F855,"","x")</f>
        <v/>
      </c>
      <c r="AE855" s="211"/>
      <c r="AF855" s="211"/>
      <c r="AG855" s="211"/>
    </row>
    <row r="856" spans="1:33" s="557" customFormat="1" ht="15.75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1146</v>
      </c>
      <c r="E856" s="184">
        <v>42499</v>
      </c>
      <c r="F856" s="189" t="s">
        <v>1045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57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1"/>
      <c r="AC856" s="557" t="str">
        <f>IF(VLOOKUP(F856,NXT!$C$35:$C$411,1,0)=F856,"","x")</f>
        <v/>
      </c>
      <c r="AE856" s="211"/>
      <c r="AF856" s="211"/>
      <c r="AG856" s="211"/>
    </row>
    <row r="857" spans="1:33" s="557" customFormat="1" ht="15.75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1146</v>
      </c>
      <c r="E857" s="184">
        <v>42499</v>
      </c>
      <c r="F857" s="189" t="s">
        <v>1046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57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1"/>
      <c r="AC857" s="557" t="str">
        <f>IF(VLOOKUP(F857,NXT!$C$35:$C$411,1,0)=F857,"","x")</f>
        <v/>
      </c>
      <c r="AD857" s="211"/>
      <c r="AE857" s="211"/>
      <c r="AF857" s="211"/>
      <c r="AG857" s="211"/>
    </row>
    <row r="858" spans="1:33" s="557" customFormat="1" ht="15.75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1146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57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1"/>
      <c r="AC858" s="557" t="str">
        <f>IF(VLOOKUP(F858,NXT!$C$35:$C$411,1,0)=F858,"","x")</f>
        <v/>
      </c>
      <c r="AE858" s="211"/>
      <c r="AF858" s="211"/>
      <c r="AG858" s="211"/>
    </row>
    <row r="859" spans="1:33" s="211" customFormat="1" ht="15.75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1146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65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57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1"/>
      <c r="AC859" s="557" t="str">
        <f>IF(VLOOKUP(H859,DS_131,1,0)=H859,"","x")</f>
        <v/>
      </c>
      <c r="AD859" s="557"/>
    </row>
    <row r="860" spans="1:33" s="211" customFormat="1" ht="15.75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65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57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2"/>
      <c r="AC860" s="557" t="str">
        <f>IF(VLOOKUP(H860,DS_131,1,0)=H860,"","x")</f>
        <v/>
      </c>
      <c r="AD860" s="557"/>
    </row>
    <row r="861" spans="1:33" s="211" customFormat="1" ht="15.75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1226</v>
      </c>
      <c r="E861" s="184">
        <v>42500</v>
      </c>
      <c r="F861" s="192" t="s">
        <v>706</v>
      </c>
      <c r="G861" s="456" t="s">
        <v>674</v>
      </c>
      <c r="H861" s="7" t="s">
        <v>875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57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1">
        <v>2</v>
      </c>
      <c r="AC861" s="557"/>
      <c r="AD861" s="211" t="str">
        <f>IF(VLOOKUP(H861,DSKH,1,0)=H861,"","x")</f>
        <v/>
      </c>
      <c r="AF861" s="557"/>
      <c r="AG861" s="557"/>
    </row>
    <row r="862" spans="1:33" s="211" customFormat="1" ht="15.75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1226</v>
      </c>
      <c r="E862" s="184">
        <v>42500</v>
      </c>
      <c r="F862" s="189" t="s">
        <v>714</v>
      </c>
      <c r="G862" s="456" t="s">
        <v>674</v>
      </c>
      <c r="H862" s="7" t="s">
        <v>875</v>
      </c>
      <c r="I862" s="256"/>
      <c r="J862" s="256"/>
      <c r="K862" s="565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57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1">
        <v>2</v>
      </c>
      <c r="AC862" s="557"/>
      <c r="AD862" s="211" t="str">
        <f>IF(VLOOKUP(H862,DSKH,1,0)=H862,"","x")</f>
        <v/>
      </c>
      <c r="AF862" s="557"/>
      <c r="AG862" s="557"/>
    </row>
    <row r="863" spans="1:33" s="557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875</v>
      </c>
      <c r="I863" s="256"/>
      <c r="J863" s="256"/>
      <c r="K863" s="565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57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1"/>
      <c r="AD863" s="211" t="str">
        <f>IF(VLOOKUP(H863,DSKH,1,0)=H863,"","x")</f>
        <v/>
      </c>
      <c r="AE863" s="211"/>
    </row>
    <row r="864" spans="1:33" s="557" customFormat="1" ht="15.75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1147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57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1"/>
      <c r="AC864" s="557" t="str">
        <f>IF(VLOOKUP(F864,NXT!$C$35:$C$411,1,0)=F864,"","x")</f>
        <v/>
      </c>
      <c r="AE864" s="211"/>
      <c r="AF864" s="211"/>
      <c r="AG864" s="211"/>
    </row>
    <row r="865" spans="1:33" s="557" customFormat="1" ht="15.75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1147</v>
      </c>
      <c r="E865" s="184">
        <v>42500</v>
      </c>
      <c r="F865" s="189" t="s">
        <v>1047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57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1"/>
      <c r="AC865" s="557" t="str">
        <f>IF(VLOOKUP(F865,NXT!$C$35:$C$411,1,0)=F865,"","x")</f>
        <v/>
      </c>
      <c r="AE865" s="211"/>
      <c r="AF865" s="211"/>
      <c r="AG865" s="211"/>
    </row>
    <row r="866" spans="1:33" s="557" customFormat="1" ht="15.75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1147</v>
      </c>
      <c r="E866" s="184">
        <v>42500</v>
      </c>
      <c r="F866" s="189" t="s">
        <v>1046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57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1"/>
      <c r="AC866" s="557" t="str">
        <f>IF(VLOOKUP(F866,NXT!$C$35:$C$411,1,0)=F866,"","x")</f>
        <v/>
      </c>
      <c r="AD866" s="211"/>
      <c r="AE866" s="211"/>
      <c r="AF866" s="211"/>
      <c r="AG866" s="211"/>
    </row>
    <row r="867" spans="1:33" s="557" customFormat="1" ht="15.75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1147</v>
      </c>
      <c r="E867" s="184">
        <v>42500</v>
      </c>
      <c r="F867" s="189" t="s">
        <v>1233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57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1"/>
      <c r="AC867" s="557" t="str">
        <f>IF(VLOOKUP(F867,NXT!$C$35:$C$411,1,0)=F867,"","x")</f>
        <v/>
      </c>
      <c r="AE867" s="211"/>
      <c r="AF867" s="211"/>
      <c r="AG867" s="211"/>
    </row>
    <row r="868" spans="1:33" s="557" customFormat="1" ht="15.75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1147</v>
      </c>
      <c r="E868" s="184">
        <v>42500</v>
      </c>
      <c r="F868" s="192" t="s">
        <v>1234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57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1"/>
      <c r="AC868" s="557" t="str">
        <f>IF(VLOOKUP(F868,NXT!$C$35:$C$411,1,0)=F868,"","x")</f>
        <v/>
      </c>
      <c r="AE868" s="211"/>
      <c r="AF868" s="211"/>
      <c r="AG868" s="211"/>
    </row>
    <row r="869" spans="1:33" s="557" customFormat="1" ht="15.75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1147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65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57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1"/>
      <c r="AC869" s="557" t="str">
        <f>IF(VLOOKUP(H869,DS_131,1,0)=H869,"","x")</f>
        <v/>
      </c>
      <c r="AD869" s="211"/>
      <c r="AE869" s="211"/>
      <c r="AF869" s="211"/>
      <c r="AG869" s="211"/>
    </row>
    <row r="870" spans="1:33" s="557" customFormat="1" ht="15.75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1148</v>
      </c>
      <c r="E870" s="184">
        <v>42500</v>
      </c>
      <c r="F870" s="189" t="s">
        <v>1048</v>
      </c>
      <c r="G870" s="456" t="s">
        <v>580</v>
      </c>
      <c r="H870" s="749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57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1"/>
      <c r="AC870" s="557" t="str">
        <f>IF(VLOOKUP(F870,NXT!$C$35:$C$411,1,0)=F870,"","x")</f>
        <v/>
      </c>
      <c r="AE870" s="211"/>
      <c r="AF870" s="211"/>
      <c r="AG870" s="211"/>
    </row>
    <row r="871" spans="1:33" s="557" customFormat="1" ht="15.75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1148</v>
      </c>
      <c r="E871" s="184">
        <v>42500</v>
      </c>
      <c r="F871" s="189" t="s">
        <v>1025</v>
      </c>
      <c r="G871" s="456" t="s">
        <v>580</v>
      </c>
      <c r="H871" s="749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57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1"/>
      <c r="AC871" s="557" t="str">
        <f>IF(VLOOKUP(F871,NXT!$C$35:$C$411,1,0)=F871,"","x")</f>
        <v/>
      </c>
      <c r="AD871" s="211"/>
      <c r="AE871" s="211"/>
      <c r="AF871" s="211"/>
      <c r="AG871" s="211"/>
    </row>
    <row r="872" spans="1:33" s="557" customFormat="1" ht="15.75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1148</v>
      </c>
      <c r="E872" s="184">
        <v>42500</v>
      </c>
      <c r="F872" s="192" t="s">
        <v>1049</v>
      </c>
      <c r="G872" s="456" t="s">
        <v>580</v>
      </c>
      <c r="H872" s="749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57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1"/>
      <c r="AC872" s="557" t="str">
        <f>IF(VLOOKUP(F872,NXT!$C$35:$C$411,1,0)=F872,"","x")</f>
        <v/>
      </c>
      <c r="AE872" s="211"/>
      <c r="AF872" s="211"/>
      <c r="AG872" s="211"/>
    </row>
    <row r="873" spans="1:33" s="557" customFormat="1" ht="15.75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1148</v>
      </c>
      <c r="E873" s="184">
        <v>42500</v>
      </c>
      <c r="F873" s="189" t="s">
        <v>1050</v>
      </c>
      <c r="G873" s="456" t="s">
        <v>580</v>
      </c>
      <c r="H873" s="749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57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1"/>
      <c r="AC873" s="557" t="str">
        <f>IF(VLOOKUP(F873,NXT!$C$35:$C$411,1,0)=F873,"","x")</f>
        <v/>
      </c>
      <c r="AF873" s="211"/>
      <c r="AG873" s="211"/>
    </row>
    <row r="874" spans="1:33" s="557" customFormat="1" ht="15.75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1148</v>
      </c>
      <c r="E874" s="184">
        <v>42500</v>
      </c>
      <c r="F874" s="189" t="s">
        <v>1051</v>
      </c>
      <c r="G874" s="456" t="s">
        <v>580</v>
      </c>
      <c r="H874" s="749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57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1"/>
      <c r="AC874" s="557" t="str">
        <f>IF(VLOOKUP(F874,NXT!$C$35:$C$411,1,0)=F874,"","x")</f>
        <v/>
      </c>
      <c r="AF874" s="211"/>
      <c r="AG874" s="211"/>
    </row>
    <row r="875" spans="1:33" s="557" customFormat="1" ht="15.75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1148</v>
      </c>
      <c r="E875" s="184">
        <v>42500</v>
      </c>
      <c r="F875" s="189" t="s">
        <v>1052</v>
      </c>
      <c r="G875" s="456" t="s">
        <v>580</v>
      </c>
      <c r="H875" s="749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57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1"/>
      <c r="AC875" s="557" t="str">
        <f>IF(VLOOKUP(F875,NXT!$C$35:$C$411,1,0)=F875,"","x")</f>
        <v/>
      </c>
      <c r="AF875" s="211"/>
      <c r="AG875" s="211"/>
    </row>
    <row r="876" spans="1:33" s="557" customFormat="1" ht="15.75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1148</v>
      </c>
      <c r="E876" s="184">
        <v>42500</v>
      </c>
      <c r="F876" s="189" t="s">
        <v>1053</v>
      </c>
      <c r="G876" s="456" t="s">
        <v>580</v>
      </c>
      <c r="H876" s="749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57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1"/>
      <c r="AC876" s="557" t="str">
        <f>IF(VLOOKUP(F876,NXT!$C$35:$C$411,1,0)=F876,"","x")</f>
        <v/>
      </c>
      <c r="AF876" s="211"/>
      <c r="AG876" s="211"/>
    </row>
    <row r="877" spans="1:33" s="557" customFormat="1" ht="15.75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1148</v>
      </c>
      <c r="E877" s="184">
        <v>42500</v>
      </c>
      <c r="F877" s="192" t="s">
        <v>1054</v>
      </c>
      <c r="G877" s="456" t="s">
        <v>580</v>
      </c>
      <c r="H877" s="749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57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1"/>
      <c r="AC877" s="557" t="str">
        <f>IF(VLOOKUP(F877,NXT!$C$35:$C$411,1,0)=F877,"","x")</f>
        <v/>
      </c>
      <c r="AF877" s="211"/>
      <c r="AG877" s="211"/>
    </row>
    <row r="878" spans="1:33" s="557" customFormat="1" ht="15.75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1148</v>
      </c>
      <c r="E878" s="184">
        <v>42500</v>
      </c>
      <c r="F878" s="189" t="s">
        <v>423</v>
      </c>
      <c r="G878" s="456" t="s">
        <v>580</v>
      </c>
      <c r="H878" s="749" t="s">
        <v>808</v>
      </c>
      <c r="I878" s="256"/>
      <c r="J878" s="256"/>
      <c r="K878" s="565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57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1"/>
      <c r="AC878" s="557" t="str">
        <f>IF(VLOOKUP(H878,DS_131,1,0)=H878,"","x")</f>
        <v/>
      </c>
      <c r="AF878" s="211"/>
      <c r="AG878" s="211"/>
    </row>
    <row r="879" spans="1:33" s="557" customFormat="1" ht="15.75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65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57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2"/>
      <c r="AC879" s="557" t="str">
        <f>IF(VLOOKUP(H879,DS_131,1,0)=H879,"","x")</f>
        <v/>
      </c>
      <c r="AE879" s="211"/>
      <c r="AF879" s="211"/>
      <c r="AG879" s="211"/>
    </row>
    <row r="880" spans="1:33" s="557" customFormat="1" ht="15.75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65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57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2"/>
      <c r="AE880" s="211"/>
      <c r="AF880" s="211"/>
      <c r="AG880" s="211"/>
    </row>
    <row r="881" spans="1:33" s="557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1586</v>
      </c>
      <c r="I881" s="256"/>
      <c r="J881" s="256"/>
      <c r="K881" s="565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57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2"/>
      <c r="AF881" s="211"/>
      <c r="AG881" s="211"/>
    </row>
    <row r="882" spans="1:33" s="557" customFormat="1" ht="15.75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65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57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1">
        <v>2</v>
      </c>
      <c r="AF882" s="211"/>
      <c r="AG882" s="211"/>
    </row>
    <row r="883" spans="1:33" s="557" customFormat="1" ht="15.75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65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57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1">
        <v>2</v>
      </c>
      <c r="AF883" s="211"/>
      <c r="AG883" s="211"/>
    </row>
    <row r="884" spans="1:33" s="557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65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57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2"/>
      <c r="AF884" s="211"/>
      <c r="AG884" s="211"/>
    </row>
    <row r="885" spans="1:33" s="557" customFormat="1" ht="15.75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65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57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1">
        <v>2</v>
      </c>
      <c r="AF885" s="211"/>
      <c r="AG885" s="211"/>
    </row>
    <row r="886" spans="1:33" s="557" customFormat="1" ht="15.75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65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57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1">
        <v>2</v>
      </c>
      <c r="AD886" s="211"/>
      <c r="AE886" s="211"/>
      <c r="AF886" s="211"/>
      <c r="AG886" s="211"/>
    </row>
    <row r="887" spans="1:33" s="557" customFormat="1" ht="15.75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65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57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1">
        <v>2</v>
      </c>
      <c r="AF887" s="211"/>
      <c r="AG887" s="211"/>
    </row>
    <row r="888" spans="1:33" s="557" customFormat="1" ht="15.75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65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57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1">
        <v>2</v>
      </c>
      <c r="AF888" s="211"/>
      <c r="AG888" s="211"/>
    </row>
    <row r="889" spans="1:33" s="557" customFormat="1" ht="15.75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1149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57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1"/>
      <c r="AC889" s="557" t="str">
        <f>IF(VLOOKUP(F889,NXT!$C$35:$C$411,1,0)=F889,"","x")</f>
        <v/>
      </c>
      <c r="AF889" s="211"/>
      <c r="AG889" s="211"/>
    </row>
    <row r="890" spans="1:33" s="557" customFormat="1" ht="15.75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1149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57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1"/>
      <c r="AC890" s="557" t="str">
        <f>IF(VLOOKUP(F890,NXT!$C$35:$C$411,1,0)=F890,"","x")</f>
        <v/>
      </c>
      <c r="AE890" s="211"/>
      <c r="AF890" s="211"/>
      <c r="AG890" s="211"/>
    </row>
    <row r="891" spans="1:33" s="557" customFormat="1" ht="15.75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1149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57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1"/>
      <c r="AC891" s="557" t="str">
        <f>IF(VLOOKUP(F891,NXT!$C$35:$C$411,1,0)=F891,"","x")</f>
        <v/>
      </c>
      <c r="AE891" s="211"/>
      <c r="AF891" s="211"/>
      <c r="AG891" s="211"/>
    </row>
    <row r="892" spans="1:33" s="557" customFormat="1" ht="15.75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1149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65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57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1"/>
      <c r="AC892" s="557" t="str">
        <f>IF(VLOOKUP(H892,DS_131,1,0)=H892,"","x")</f>
        <v/>
      </c>
      <c r="AE892" s="211"/>
      <c r="AF892" s="211"/>
      <c r="AG892" s="211"/>
    </row>
    <row r="893" spans="1:33" s="557" customFormat="1" ht="15.75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1150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57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1"/>
      <c r="AC893" s="557" t="str">
        <f>IF(VLOOKUP(F893,NXT!$C$35:$C$411,1,0)=F893,"","x")</f>
        <v/>
      </c>
      <c r="AE893" s="211"/>
      <c r="AF893" s="211"/>
      <c r="AG893" s="211"/>
    </row>
    <row r="894" spans="1:33" s="557" customFormat="1" ht="15.75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1150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57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1"/>
      <c r="AC894" s="557" t="str">
        <f>IF(VLOOKUP(F894,NXT!$C$35:$C$411,1,0)=F894,"","x")</f>
        <v/>
      </c>
      <c r="AE894" s="211"/>
      <c r="AF894" s="211"/>
      <c r="AG894" s="211"/>
    </row>
    <row r="895" spans="1:33" s="557" customFormat="1" ht="15.75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1150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57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1"/>
      <c r="AC895" s="557" t="str">
        <f>IF(VLOOKUP(F895,NXT!$C$35:$C$411,1,0)=F895,"","x")</f>
        <v/>
      </c>
      <c r="AE895" s="211"/>
      <c r="AF895" s="211"/>
      <c r="AG895" s="211"/>
    </row>
    <row r="896" spans="1:33" s="211" customFormat="1" ht="15.75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1150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57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1"/>
      <c r="AC896" s="557" t="str">
        <f>IF(VLOOKUP(H896,DS_131,1,0)=H896,"","x")</f>
        <v/>
      </c>
      <c r="AD896" s="557"/>
    </row>
    <row r="897" spans="1:33" s="211" customFormat="1" ht="15.75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1151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57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1"/>
      <c r="AC897" s="557" t="str">
        <f>IF(VLOOKUP(F897,NXT!$C$35:$C$411,1,0)=F897,"","x")</f>
        <v/>
      </c>
    </row>
    <row r="898" spans="1:33" s="211" customFormat="1" ht="15.75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1151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57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1"/>
      <c r="AC898" s="557" t="str">
        <f>IF(VLOOKUP(F898,NXT!$C$35:$C$411,1,0)=F898,"","x")</f>
        <v/>
      </c>
      <c r="AD898" s="557"/>
    </row>
    <row r="899" spans="1:33" s="211" customFormat="1" ht="15.75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1151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57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1"/>
      <c r="AC899" s="557" t="str">
        <f>IF(VLOOKUP(F899,NXT!$C$35:$C$411,1,0)=F899,"","x")</f>
        <v/>
      </c>
      <c r="AD899" s="557"/>
    </row>
    <row r="900" spans="1:33" s="211" customFormat="1" ht="15.75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1151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57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1"/>
      <c r="AC900" s="557" t="str">
        <f>IF(VLOOKUP(H900,DS_131,1,0)=H900,"","x")</f>
        <v/>
      </c>
      <c r="AD900" s="557"/>
    </row>
    <row r="901" spans="1:33" s="211" customFormat="1" ht="15.75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1152</v>
      </c>
      <c r="E901" s="184">
        <v>42503</v>
      </c>
      <c r="F901" s="189" t="s">
        <v>1055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57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1"/>
      <c r="AC901" s="557" t="str">
        <f>IF(VLOOKUP(F901,NXT!$C$35:$C$411,1,0)=F901,"","x")</f>
        <v/>
      </c>
      <c r="AD901" s="557"/>
    </row>
    <row r="902" spans="1:33" s="211" customFormat="1" ht="15.75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1152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57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1"/>
      <c r="AC902" s="557" t="str">
        <f>IF(VLOOKUP(H902,DS_131,1,0)=H902,"","x")</f>
        <v/>
      </c>
      <c r="AD902" s="557"/>
    </row>
    <row r="903" spans="1:33" s="211" customFormat="1" ht="15.75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1153</v>
      </c>
      <c r="E903" s="184">
        <v>42503</v>
      </c>
      <c r="F903" s="40" t="s">
        <v>710</v>
      </c>
      <c r="G903" s="456" t="s">
        <v>1056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57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1"/>
      <c r="AC903" s="557"/>
      <c r="AD903" s="557"/>
    </row>
    <row r="904" spans="1:33" s="211" customFormat="1" ht="15.75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1153</v>
      </c>
      <c r="E904" s="184">
        <v>42503</v>
      </c>
      <c r="F904" s="189" t="s">
        <v>1057</v>
      </c>
      <c r="G904" s="456" t="s">
        <v>1056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57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1"/>
      <c r="AC904" s="557" t="str">
        <f>IF(VLOOKUP(H904,DS_131,1,0)=H904,"","x")</f>
        <v/>
      </c>
    </row>
    <row r="905" spans="1:33" s="211" customFormat="1" ht="15.75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65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57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2"/>
      <c r="AC905" s="557" t="str">
        <f>IF(VLOOKUP(H905,DS_131,1,0)=H905,"","x")</f>
        <v/>
      </c>
      <c r="AD905" s="557"/>
    </row>
    <row r="906" spans="1:33" s="211" customFormat="1" ht="15.75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1227</v>
      </c>
      <c r="E906" s="184">
        <v>42504</v>
      </c>
      <c r="F906" s="192" t="s">
        <v>710</v>
      </c>
      <c r="G906" s="456" t="s">
        <v>879</v>
      </c>
      <c r="H906" s="7" t="s">
        <v>1586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57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1">
        <v>2</v>
      </c>
      <c r="AC906" s="557"/>
      <c r="AD906" s="211" t="str">
        <f>IF(VLOOKUP(H906,DSKH,1,0)=H906,"","x")</f>
        <v/>
      </c>
      <c r="AF906" s="557"/>
      <c r="AG906" s="557"/>
    </row>
    <row r="907" spans="1:33" s="211" customFormat="1" ht="15.75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1227</v>
      </c>
      <c r="E907" s="184">
        <v>42504</v>
      </c>
      <c r="F907" s="189" t="s">
        <v>711</v>
      </c>
      <c r="G907" s="456" t="s">
        <v>879</v>
      </c>
      <c r="H907" s="7" t="s">
        <v>1586</v>
      </c>
      <c r="I907" s="256"/>
      <c r="J907" s="256"/>
      <c r="K907" s="565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57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1">
        <v>2</v>
      </c>
      <c r="AC907" s="557"/>
      <c r="AD907" s="211" t="str">
        <f>IF(VLOOKUP(H907,DSKH,1,0)=H907,"","x")</f>
        <v/>
      </c>
      <c r="AF907" s="557"/>
      <c r="AG907" s="557"/>
    </row>
    <row r="908" spans="1:33" s="211" customFormat="1" ht="15.75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65">
        <v>1325000</v>
      </c>
      <c r="L908" s="566" t="s">
        <v>81</v>
      </c>
      <c r="M908" s="566" t="s">
        <v>24</v>
      </c>
      <c r="N908" s="52" t="str">
        <f>IF(AND('331-CT'!$E$7=TH!H908,OR(L908="331",M908="331")),"331",IF(AND(OR(L908="131",M908="131"),H908='131-CT'!$E$7),"131",""))</f>
        <v/>
      </c>
      <c r="O908" s="857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1"/>
      <c r="AC908" s="557"/>
      <c r="AD908" s="557"/>
      <c r="AE908" s="557"/>
      <c r="AF908" s="557"/>
      <c r="AG908" s="557"/>
    </row>
    <row r="909" spans="1:33" s="211" customFormat="1" ht="15.75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65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57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2"/>
      <c r="AC909" s="557" t="str">
        <f>IF(VLOOKUP(H909,DS_131,1,0)=H909,"","x")</f>
        <v/>
      </c>
      <c r="AD909" s="557"/>
    </row>
    <row r="910" spans="1:33" s="211" customFormat="1" ht="15.75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65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57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2"/>
      <c r="AC910" s="557"/>
      <c r="AD910" s="557"/>
      <c r="AE910" s="557"/>
    </row>
    <row r="911" spans="1:33" s="211" customFormat="1" ht="15.75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65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57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1">
        <v>2</v>
      </c>
      <c r="AC911" s="557"/>
      <c r="AD911" s="557"/>
      <c r="AE911" s="557"/>
    </row>
    <row r="912" spans="1:33" s="211" customFormat="1" ht="15.75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65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57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1">
        <v>2</v>
      </c>
      <c r="AC912" s="557"/>
      <c r="AD912" s="557"/>
      <c r="AE912" s="557"/>
    </row>
    <row r="913" spans="1:31" s="211" customFormat="1" ht="15.75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1228</v>
      </c>
      <c r="E913" s="184">
        <v>42506</v>
      </c>
      <c r="F913" s="189" t="s">
        <v>710</v>
      </c>
      <c r="G913" s="456" t="s">
        <v>880</v>
      </c>
      <c r="H913" s="7" t="s">
        <v>1586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57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1">
        <v>2</v>
      </c>
      <c r="AC913" s="557"/>
      <c r="AD913" s="211" t="str">
        <f>IF(VLOOKUP(H913,DSKH,1,0)=H913,"","x")</f>
        <v/>
      </c>
    </row>
    <row r="914" spans="1:31" s="211" customFormat="1" ht="15.75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1228</v>
      </c>
      <c r="E914" s="184">
        <v>42506</v>
      </c>
      <c r="F914" s="189" t="s">
        <v>711</v>
      </c>
      <c r="G914" s="456" t="s">
        <v>880</v>
      </c>
      <c r="H914" s="7" t="s">
        <v>1586</v>
      </c>
      <c r="I914" s="256"/>
      <c r="J914" s="256"/>
      <c r="K914" s="565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57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1">
        <v>2</v>
      </c>
      <c r="AC914" s="557"/>
      <c r="AD914" s="211" t="str">
        <f>IF(VLOOKUP(H914,DSKH,1,0)=H914,"","x")</f>
        <v/>
      </c>
    </row>
    <row r="915" spans="1:31" s="211" customFormat="1" ht="15.75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65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57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2"/>
      <c r="AC915" s="557" t="str">
        <f>IF(VLOOKUP(H915,DS_131,1,0)=H915,"","x")</f>
        <v/>
      </c>
      <c r="AD915" s="557"/>
    </row>
    <row r="916" spans="1:31" s="211" customFormat="1" ht="15.75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65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57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2"/>
      <c r="AC916" s="557" t="str">
        <f>IF(VLOOKUP(H916,DS_131,1,0)=H916,"","x")</f>
        <v/>
      </c>
    </row>
    <row r="917" spans="1:31" s="211" customFormat="1" ht="15.75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65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57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2"/>
      <c r="AC917" s="557"/>
      <c r="AD917" s="557"/>
      <c r="AE917" s="557"/>
    </row>
    <row r="918" spans="1:31" s="211" customFormat="1" ht="15.75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1154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57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1"/>
      <c r="AC918" s="557" t="str">
        <f>IF(VLOOKUP(F918,NXT!$C$35:$C$411,1,0)=F918,"","x")</f>
        <v/>
      </c>
      <c r="AD918" s="557"/>
    </row>
    <row r="919" spans="1:31" s="211" customFormat="1" ht="15.75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1154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57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1"/>
      <c r="AC919" s="557" t="str">
        <f>IF(VLOOKUP(F919,NXT!$C$35:$C$411,1,0)=F919,"","x")</f>
        <v/>
      </c>
      <c r="AD919" s="557"/>
    </row>
    <row r="920" spans="1:31" s="211" customFormat="1" ht="15.75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1154</v>
      </c>
      <c r="E920" s="184">
        <v>42507</v>
      </c>
      <c r="F920" s="192" t="s">
        <v>1079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57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1"/>
      <c r="AC920" s="557" t="str">
        <f>IF(VLOOKUP(F920,NXT!$C$35:$C$411,1,0)=F920,"","x")</f>
        <v/>
      </c>
    </row>
    <row r="921" spans="1:31" s="211" customFormat="1" ht="15.75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1154</v>
      </c>
      <c r="E921" s="184">
        <v>42507</v>
      </c>
      <c r="F921" s="192" t="s">
        <v>947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57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1"/>
      <c r="AC921" s="557" t="str">
        <f>IF(VLOOKUP(F921,NXT!$C$35:$C$411,1,0)=F921,"","x")</f>
        <v/>
      </c>
      <c r="AD921" s="557"/>
    </row>
    <row r="922" spans="1:31" s="211" customFormat="1" ht="15.75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1154</v>
      </c>
      <c r="E922" s="184">
        <v>42507</v>
      </c>
      <c r="F922" s="189" t="s">
        <v>1058</v>
      </c>
      <c r="G922" s="456" t="s">
        <v>589</v>
      </c>
      <c r="H922" s="193" t="s">
        <v>639</v>
      </c>
      <c r="I922" s="256"/>
      <c r="J922" s="256"/>
      <c r="K922" s="565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57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1"/>
      <c r="AC922" s="557" t="str">
        <f>IF(VLOOKUP(H922,DS_131,1,0)=H922,"","x")</f>
        <v/>
      </c>
      <c r="AD922" s="557"/>
    </row>
    <row r="923" spans="1:31" s="211" customFormat="1" ht="15.75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1155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57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1"/>
      <c r="AC923" s="557" t="str">
        <f>IF(VLOOKUP(F923,NXT!$C$35:$C$411,1,0)=F923,"","x")</f>
        <v/>
      </c>
      <c r="AD923" s="557"/>
    </row>
    <row r="924" spans="1:31" s="211" customFormat="1" ht="15.75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1155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57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1"/>
      <c r="AC924" s="557" t="str">
        <f>IF(VLOOKUP(F924,NXT!$C$35:$C$411,1,0)=F924,"","x")</f>
        <v/>
      </c>
      <c r="AD924" s="557"/>
    </row>
    <row r="925" spans="1:31" s="211" customFormat="1" ht="15.75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1155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57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1"/>
      <c r="AC925" s="557" t="str">
        <f>IF(VLOOKUP(F925,NXT!$C$35:$C$411,1,0)=F925,"","x")</f>
        <v/>
      </c>
    </row>
    <row r="926" spans="1:31" s="211" customFormat="1" ht="15.75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1155</v>
      </c>
      <c r="E926" s="184">
        <v>42507</v>
      </c>
      <c r="F926" s="192" t="s">
        <v>928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57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1"/>
      <c r="AC926" s="557" t="str">
        <f>IF(VLOOKUP(F926,NXT!$C$35:$C$411,1,0)=F926,"","x")</f>
        <v/>
      </c>
      <c r="AD926" s="557"/>
    </row>
    <row r="927" spans="1:31" s="211" customFormat="1" ht="15.75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1155</v>
      </c>
      <c r="E927" s="184">
        <v>42507</v>
      </c>
      <c r="F927" s="189" t="s">
        <v>1058</v>
      </c>
      <c r="G927" s="456" t="s">
        <v>590</v>
      </c>
      <c r="H927" s="193" t="s">
        <v>639</v>
      </c>
      <c r="I927" s="256"/>
      <c r="J927" s="256"/>
      <c r="K927" s="565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57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1"/>
      <c r="AC927" s="557" t="str">
        <f>IF(VLOOKUP(H927,DS_131,1,0)=H927,"","x")</f>
        <v/>
      </c>
    </row>
    <row r="928" spans="1:31" s="211" customFormat="1" ht="15.75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1156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57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1"/>
      <c r="AC928" s="557" t="str">
        <f>IF(VLOOKUP(F928,NXT!$C$35:$C$411,1,0)=F928,"","x")</f>
        <v/>
      </c>
      <c r="AD928" s="557"/>
    </row>
    <row r="929" spans="1:30" s="211" customFormat="1" ht="15.75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1156</v>
      </c>
      <c r="E929" s="184">
        <v>42507</v>
      </c>
      <c r="F929" s="192" t="s">
        <v>943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57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1"/>
      <c r="AC929" s="557" t="str">
        <f>IF(VLOOKUP(F929,NXT!$C$35:$C$411,1,0)=F929,"","x")</f>
        <v/>
      </c>
      <c r="AD929" s="557"/>
    </row>
    <row r="930" spans="1:30" s="211" customFormat="1" ht="15.75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1156</v>
      </c>
      <c r="E930" s="184">
        <v>42507</v>
      </c>
      <c r="F930" s="189" t="s">
        <v>1059</v>
      </c>
      <c r="G930" s="456" t="s">
        <v>591</v>
      </c>
      <c r="H930" s="7" t="s">
        <v>557</v>
      </c>
      <c r="I930" s="256"/>
      <c r="J930" s="256"/>
      <c r="K930" s="565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57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1"/>
      <c r="AC930" s="557" t="str">
        <f>IF(VLOOKUP(H930,DS_131,1,0)=H930,"","x")</f>
        <v/>
      </c>
    </row>
    <row r="931" spans="1:30" s="211" customFormat="1" ht="15.75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1157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57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1"/>
      <c r="AC931" s="557" t="str">
        <f>IF(VLOOKUP(F931,NXT!$C$35:$C$411,1,0)=F931,"","x")</f>
        <v/>
      </c>
      <c r="AD931" s="557"/>
    </row>
    <row r="932" spans="1:30" s="211" customFormat="1" ht="15.75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1157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57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1"/>
      <c r="AC932" s="557" t="str">
        <f>IF(VLOOKUP(F932,NXT!$C$35:$C$411,1,0)=F932,"","x")</f>
        <v/>
      </c>
    </row>
    <row r="933" spans="1:30" s="211" customFormat="1" ht="15.75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1157</v>
      </c>
      <c r="E933" s="184">
        <v>42507</v>
      </c>
      <c r="F933" s="189" t="s">
        <v>1060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57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1"/>
      <c r="AC933" s="557" t="str">
        <f>IF(VLOOKUP(F933,NXT!$C$35:$C$411,1,0)=F933,"","x")</f>
        <v/>
      </c>
      <c r="AD933" s="557"/>
    </row>
    <row r="934" spans="1:30" s="211" customFormat="1" ht="15.75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1157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57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1"/>
      <c r="AC934" s="557" t="str">
        <f>IF(VLOOKUP(H934,DS_131,1,0)=H934,"","x")</f>
        <v/>
      </c>
      <c r="AD934" s="557"/>
    </row>
    <row r="935" spans="1:30" s="211" customFormat="1" ht="15.75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1158</v>
      </c>
      <c r="E935" s="184">
        <v>42507</v>
      </c>
      <c r="F935" s="189" t="s">
        <v>998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57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1"/>
      <c r="AC935" s="557" t="str">
        <f>IF(VLOOKUP(F935,NXT!$C$35:$C$411,1,0)=F935,"","x")</f>
        <v/>
      </c>
      <c r="AD935" s="557"/>
    </row>
    <row r="936" spans="1:30" s="211" customFormat="1" ht="15.75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1158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57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1"/>
      <c r="AC936" s="557" t="str">
        <f>IF(VLOOKUP(H936,DS_131,1,0)=H936,"","x")</f>
        <v/>
      </c>
      <c r="AD936" s="557"/>
    </row>
    <row r="937" spans="1:30" s="211" customFormat="1" ht="15.75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1159</v>
      </c>
      <c r="E937" s="184">
        <v>42508</v>
      </c>
      <c r="F937" s="192" t="s">
        <v>466</v>
      </c>
      <c r="G937" s="456" t="s">
        <v>592</v>
      </c>
      <c r="H937" s="867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57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1"/>
      <c r="AC937" s="557" t="str">
        <f>IF(VLOOKUP(F937,NXT!$C$35:$C$411,1,0)=F937,"","x")</f>
        <v/>
      </c>
    </row>
    <row r="938" spans="1:30" s="211" customFormat="1" ht="15.75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1159</v>
      </c>
      <c r="E938" s="184">
        <v>42508</v>
      </c>
      <c r="F938" s="189" t="s">
        <v>1059</v>
      </c>
      <c r="G938" s="456" t="s">
        <v>592</v>
      </c>
      <c r="H938" s="867" t="s">
        <v>595</v>
      </c>
      <c r="I938" s="256"/>
      <c r="J938" s="256"/>
      <c r="K938" s="565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57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1"/>
      <c r="AC938" s="557" t="str">
        <f>IF(VLOOKUP(H938,DS_131,1,0)=H938,"","x")</f>
        <v/>
      </c>
      <c r="AD938" s="557"/>
    </row>
    <row r="939" spans="1:30" s="211" customFormat="1" ht="15.75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1160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57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1"/>
      <c r="AC939" s="557" t="str">
        <f>IF(VLOOKUP(F939,NXT!$C$35:$C$411,1,0)=F939,"","x")</f>
        <v/>
      </c>
    </row>
    <row r="940" spans="1:30" s="211" customFormat="1" ht="15.75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1160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57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1"/>
      <c r="AC940" s="557" t="str">
        <f>IF(VLOOKUP(F940,NXT!$C$35:$C$411,1,0)=F940,"","x")</f>
        <v/>
      </c>
      <c r="AD940" s="557"/>
    </row>
    <row r="941" spans="1:30" s="211" customFormat="1" ht="15.75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1160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57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1"/>
      <c r="AC941" s="557" t="str">
        <f>IF(VLOOKUP(F941,NXT!$C$35:$C$411,1,0)=F941,"","x")</f>
        <v/>
      </c>
      <c r="AD941" s="557"/>
    </row>
    <row r="942" spans="1:30" s="211" customFormat="1" ht="15.75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1160</v>
      </c>
      <c r="E942" s="184">
        <v>42508</v>
      </c>
      <c r="F942" s="189" t="s">
        <v>971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57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1"/>
      <c r="AC942" s="557" t="str">
        <f>IF(VLOOKUP(F942,NXT!$C$35:$C$411,1,0)=F942,"","x")</f>
        <v/>
      </c>
    </row>
    <row r="943" spans="1:30" s="211" customFormat="1" ht="15.75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1160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57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1"/>
      <c r="AC943" s="557" t="str">
        <f>IF(VLOOKUP(F943,NXT!$C$35:$C$411,1,0)=F943,"","x")</f>
        <v/>
      </c>
      <c r="AD943" s="557"/>
    </row>
    <row r="944" spans="1:30" s="211" customFormat="1" ht="15.75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1160</v>
      </c>
      <c r="E944" s="184">
        <v>42508</v>
      </c>
      <c r="F944" s="189" t="s">
        <v>1059</v>
      </c>
      <c r="G944" s="456" t="s">
        <v>593</v>
      </c>
      <c r="H944" s="193" t="s">
        <v>639</v>
      </c>
      <c r="I944" s="256"/>
      <c r="J944" s="256"/>
      <c r="K944" s="565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57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1"/>
      <c r="AC944" s="557" t="str">
        <f>IF(VLOOKUP(H944,DS_131,1,0)=H944,"","x")</f>
        <v/>
      </c>
    </row>
    <row r="945" spans="1:33" s="211" customFormat="1" ht="15.75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65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57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2"/>
      <c r="AC945" s="557"/>
      <c r="AD945" s="557"/>
      <c r="AE945" s="557"/>
    </row>
    <row r="946" spans="1:33" s="211" customFormat="1" ht="15.75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65">
        <v>1335555</v>
      </c>
      <c r="L946" s="566" t="s">
        <v>81</v>
      </c>
      <c r="M946" s="566" t="s">
        <v>24</v>
      </c>
      <c r="N946" s="52" t="str">
        <f>IF(AND('331-CT'!$E$7=TH!H946,OR(L946="331",M946="331")),"331",IF(AND(OR(L946="131",M946="131"),H946='131-CT'!$E$7),"131",""))</f>
        <v/>
      </c>
      <c r="O946" s="857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1"/>
      <c r="AC946" s="557"/>
      <c r="AD946" s="557"/>
      <c r="AE946" s="557"/>
      <c r="AF946" s="557"/>
      <c r="AG946" s="557"/>
    </row>
    <row r="947" spans="1:33" s="211" customFormat="1" ht="15.75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65">
        <v>10651469</v>
      </c>
      <c r="L947" s="566" t="s">
        <v>81</v>
      </c>
      <c r="M947" s="566" t="s">
        <v>24</v>
      </c>
      <c r="N947" s="52" t="str">
        <f>IF(AND('331-CT'!$E$7=TH!H947,OR(L947="331",M947="331")),"331",IF(AND(OR(L947="131",M947="131"),H947='131-CT'!$E$7),"131",""))</f>
        <v/>
      </c>
      <c r="O947" s="857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1"/>
      <c r="AC947" s="557"/>
      <c r="AD947" s="557"/>
      <c r="AE947" s="557"/>
      <c r="AF947" s="557"/>
      <c r="AG947" s="557"/>
    </row>
    <row r="948" spans="1:33" s="211" customFormat="1" ht="15.75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65">
        <v>2128358</v>
      </c>
      <c r="L948" s="566" t="s">
        <v>81</v>
      </c>
      <c r="M948" s="566" t="s">
        <v>24</v>
      </c>
      <c r="N948" s="52" t="str">
        <f>IF(AND('331-CT'!$E$7=TH!H948,OR(L948="331",M948="331")),"331",IF(AND(OR(L948="131",M948="131"),H948='131-CT'!$E$7),"131",""))</f>
        <v/>
      </c>
      <c r="O948" s="857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1"/>
      <c r="AC948" s="557"/>
      <c r="AD948" s="557"/>
      <c r="AE948" s="557"/>
      <c r="AF948" s="557"/>
      <c r="AG948" s="557"/>
    </row>
    <row r="949" spans="1:33" s="211" customFormat="1" ht="15.75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65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57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2"/>
      <c r="AC949" s="557"/>
      <c r="AD949" s="557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65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57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2"/>
      <c r="AC950" s="557"/>
      <c r="AD950" s="557"/>
      <c r="AE950" s="557"/>
    </row>
    <row r="951" spans="1:33" s="211" customFormat="1" ht="15.75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65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57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1">
        <v>2</v>
      </c>
      <c r="AC951" s="557"/>
      <c r="AD951" s="557"/>
      <c r="AE951" s="557"/>
    </row>
    <row r="952" spans="1:33" s="211" customFormat="1" ht="15.75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65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57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1">
        <v>2</v>
      </c>
      <c r="AC952" s="557"/>
      <c r="AD952" s="557"/>
    </row>
    <row r="953" spans="1:33" s="211" customFormat="1" ht="15.75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65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57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1">
        <v>2</v>
      </c>
      <c r="AC953" s="557"/>
      <c r="AD953" s="557"/>
    </row>
    <row r="954" spans="1:33" s="211" customFormat="1" ht="15.75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65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57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1">
        <v>2</v>
      </c>
      <c r="AC954" s="557"/>
    </row>
    <row r="955" spans="1:33" s="211" customFormat="1" ht="15.75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1229</v>
      </c>
      <c r="E955" s="184">
        <v>42511</v>
      </c>
      <c r="F955" s="192" t="s">
        <v>706</v>
      </c>
      <c r="G955" s="456" t="s">
        <v>677</v>
      </c>
      <c r="H955" s="7" t="s">
        <v>875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57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1">
        <v>2</v>
      </c>
      <c r="AC955" s="557"/>
      <c r="AD955" s="211" t="str">
        <f>IF(VLOOKUP(H955,DSKH,1,0)=H955,"","x")</f>
        <v/>
      </c>
      <c r="AF955" s="557"/>
      <c r="AG955" s="557"/>
    </row>
    <row r="956" spans="1:33" s="211" customFormat="1" ht="15.75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1229</v>
      </c>
      <c r="E956" s="184">
        <v>42511</v>
      </c>
      <c r="F956" s="189" t="s">
        <v>714</v>
      </c>
      <c r="G956" s="456" t="s">
        <v>677</v>
      </c>
      <c r="H956" s="7" t="s">
        <v>875</v>
      </c>
      <c r="I956" s="256"/>
      <c r="J956" s="256"/>
      <c r="K956" s="565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57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1">
        <v>2</v>
      </c>
      <c r="AC956" s="557"/>
      <c r="AD956" s="211" t="str">
        <f>IF(VLOOKUP(H956,DSKH,1,0)=H956,"","x")</f>
        <v/>
      </c>
      <c r="AF956" s="557"/>
      <c r="AG956" s="557"/>
    </row>
    <row r="957" spans="1:33" s="211" customFormat="1" ht="15.75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1105</v>
      </c>
      <c r="G957" s="456" t="s">
        <v>787</v>
      </c>
      <c r="H957" s="193"/>
      <c r="I957" s="256"/>
      <c r="J957" s="256"/>
      <c r="K957" s="565">
        <v>100000</v>
      </c>
      <c r="L957" s="566" t="s">
        <v>83</v>
      </c>
      <c r="M957" s="566" t="s">
        <v>24</v>
      </c>
      <c r="N957" s="52" t="str">
        <f>IF(AND('331-CT'!$E$7=TH!H957,OR(L957="331",M957="331")),"331",IF(AND(OR(L957="131",M957="131"),H957='131-CT'!$E$7),"131",""))</f>
        <v/>
      </c>
      <c r="O957" s="857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1">
        <v>3</v>
      </c>
      <c r="AC957" s="557"/>
      <c r="AE957" s="557"/>
      <c r="AF957" s="557"/>
      <c r="AG957" s="557"/>
    </row>
    <row r="958" spans="1:33" s="211" customFormat="1" ht="15.75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1106</v>
      </c>
      <c r="G958" s="456" t="s">
        <v>787</v>
      </c>
      <c r="H958" s="193"/>
      <c r="I958" s="256"/>
      <c r="J958" s="256"/>
      <c r="K958" s="565">
        <v>10000</v>
      </c>
      <c r="L958" s="566" t="s">
        <v>9</v>
      </c>
      <c r="M958" s="566" t="s">
        <v>24</v>
      </c>
      <c r="N958" s="52" t="str">
        <f>IF(AND('331-CT'!$E$7=TH!H958,OR(L958="331",M958="331")),"331",IF(AND(OR(L958="131",M958="131"),H958='131-CT'!$E$7),"131",""))</f>
        <v/>
      </c>
      <c r="O958" s="857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1">
        <v>3</v>
      </c>
      <c r="AC958" s="557"/>
      <c r="AD958" s="557"/>
      <c r="AE958" s="557"/>
      <c r="AF958" s="557"/>
      <c r="AG958" s="557"/>
    </row>
    <row r="959" spans="1:33" s="211" customFormat="1" ht="15.75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65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57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2"/>
      <c r="AC959" s="557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65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57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1"/>
      <c r="AC960" s="557"/>
      <c r="AD960" s="557"/>
    </row>
    <row r="961" spans="1:30" s="211" customFormat="1" ht="15.75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65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57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1">
        <v>2</v>
      </c>
      <c r="AC961" s="557"/>
      <c r="AD961" s="557"/>
    </row>
    <row r="962" spans="1:30" s="211" customFormat="1" ht="15.75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65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57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1">
        <v>2</v>
      </c>
      <c r="AC962" s="557"/>
      <c r="AD962" s="557"/>
    </row>
    <row r="963" spans="1:30" s="211" customFormat="1" ht="15.75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1161</v>
      </c>
      <c r="E963" s="184">
        <v>42513</v>
      </c>
      <c r="F963" s="189" t="s">
        <v>1061</v>
      </c>
      <c r="G963" s="456" t="s">
        <v>594</v>
      </c>
      <c r="H963" s="749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57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1"/>
      <c r="AC963" s="557" t="str">
        <f>IF(VLOOKUP(F963,NXT!$C$35:$C$411,1,0)=F963,"","x")</f>
        <v/>
      </c>
      <c r="AD963" s="557"/>
    </row>
    <row r="964" spans="1:30" s="211" customFormat="1" ht="15.75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1161</v>
      </c>
      <c r="E964" s="184">
        <v>42513</v>
      </c>
      <c r="F964" s="189" t="s">
        <v>1062</v>
      </c>
      <c r="G964" s="456" t="s">
        <v>594</v>
      </c>
      <c r="H964" s="749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57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1"/>
      <c r="AC964" s="557" t="str">
        <f>IF(VLOOKUP(F964,NXT!$C$35:$C$411,1,0)=F964,"","x")</f>
        <v/>
      </c>
      <c r="AD964" s="557"/>
    </row>
    <row r="965" spans="1:30" s="211" customFormat="1" ht="15.75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1161</v>
      </c>
      <c r="E965" s="184">
        <v>42513</v>
      </c>
      <c r="F965" s="189" t="s">
        <v>1063</v>
      </c>
      <c r="G965" s="456" t="s">
        <v>594</v>
      </c>
      <c r="H965" s="749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57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1"/>
      <c r="AC965" s="557" t="str">
        <f>IF(VLOOKUP(F965,NXT!$C$35:$C$411,1,0)=F965,"","x")</f>
        <v/>
      </c>
      <c r="AD965" s="557"/>
    </row>
    <row r="966" spans="1:30" s="211" customFormat="1" ht="15.75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1161</v>
      </c>
      <c r="E966" s="184">
        <v>42513</v>
      </c>
      <c r="F966" s="189" t="s">
        <v>1064</v>
      </c>
      <c r="G966" s="456" t="s">
        <v>594</v>
      </c>
      <c r="H966" s="749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57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1"/>
      <c r="AC966" s="557" t="str">
        <f>IF(VLOOKUP(F966,NXT!$C$35:$C$411,1,0)=F966,"","x")</f>
        <v/>
      </c>
      <c r="AD966" s="557"/>
    </row>
    <row r="967" spans="1:30" s="211" customFormat="1" ht="15.75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1161</v>
      </c>
      <c r="E967" s="184">
        <v>42513</v>
      </c>
      <c r="F967" s="189" t="s">
        <v>1065</v>
      </c>
      <c r="G967" s="456" t="s">
        <v>594</v>
      </c>
      <c r="H967" s="749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57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1"/>
      <c r="AC967" s="557" t="str">
        <f>IF(VLOOKUP(F967,NXT!$C$35:$C$411,1,0)=F967,"","x")</f>
        <v/>
      </c>
      <c r="AD967" s="557"/>
    </row>
    <row r="968" spans="1:30" s="211" customFormat="1" ht="15.75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1161</v>
      </c>
      <c r="E968" s="184">
        <v>42513</v>
      </c>
      <c r="F968" s="189" t="s">
        <v>1066</v>
      </c>
      <c r="G968" s="456" t="s">
        <v>594</v>
      </c>
      <c r="H968" s="749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57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1"/>
      <c r="AC968" s="557" t="str">
        <f>IF(VLOOKUP(F968,NXT!$C$35:$C$411,1,0)=F968,"","x")</f>
        <v/>
      </c>
      <c r="AD968" s="557"/>
    </row>
    <row r="969" spans="1:30" s="211" customFormat="1" ht="15.75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1161</v>
      </c>
      <c r="E969" s="184">
        <v>42513</v>
      </c>
      <c r="F969" s="189" t="s">
        <v>1067</v>
      </c>
      <c r="G969" s="456" t="s">
        <v>594</v>
      </c>
      <c r="H969" s="749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57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1"/>
      <c r="AC969" s="557" t="str">
        <f>IF(VLOOKUP(F969,NXT!$C$35:$C$411,1,0)=F969,"","x")</f>
        <v/>
      </c>
    </row>
    <row r="970" spans="1:30" s="211" customFormat="1" ht="15.75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1161</v>
      </c>
      <c r="E970" s="184">
        <v>42513</v>
      </c>
      <c r="F970" s="189" t="s">
        <v>1068</v>
      </c>
      <c r="G970" s="456" t="s">
        <v>594</v>
      </c>
      <c r="H970" s="749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57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1"/>
      <c r="AC970" s="557" t="str">
        <f>IF(VLOOKUP(F970,NXT!$C$35:$C$411,1,0)=F970,"","x")</f>
        <v/>
      </c>
      <c r="AD970" s="557"/>
    </row>
    <row r="971" spans="1:30" s="211" customFormat="1" ht="15.75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1161</v>
      </c>
      <c r="E971" s="184">
        <v>42513</v>
      </c>
      <c r="F971" s="189" t="s">
        <v>1069</v>
      </c>
      <c r="G971" s="456" t="s">
        <v>594</v>
      </c>
      <c r="H971" s="749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57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1"/>
      <c r="AC971" s="557" t="str">
        <f>IF(VLOOKUP(F971,NXT!$C$35:$C$411,1,0)=F971,"","x")</f>
        <v/>
      </c>
      <c r="AD971" s="557"/>
    </row>
    <row r="972" spans="1:30" s="211" customFormat="1" ht="15.75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1161</v>
      </c>
      <c r="E972" s="184">
        <v>42513</v>
      </c>
      <c r="F972" s="189" t="s">
        <v>1059</v>
      </c>
      <c r="G972" s="456" t="s">
        <v>594</v>
      </c>
      <c r="H972" s="749" t="s">
        <v>808</v>
      </c>
      <c r="I972" s="256"/>
      <c r="J972" s="256"/>
      <c r="K972" s="565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57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1"/>
      <c r="AC972" s="557" t="str">
        <f>IF(VLOOKUP(H972,DS_131,1,0)=H972,"","x")</f>
        <v/>
      </c>
      <c r="AD972" s="557"/>
    </row>
    <row r="973" spans="1:30" s="211" customFormat="1" ht="15.75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1162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57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1"/>
      <c r="AC973" s="557" t="str">
        <f>IF(VLOOKUP(F973,NXT!$C$35:$C$411,1,0)=F973,"","x")</f>
        <v/>
      </c>
      <c r="AD973" s="557"/>
    </row>
    <row r="974" spans="1:30" s="211" customFormat="1" ht="15.75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1162</v>
      </c>
      <c r="E974" s="184">
        <v>42513</v>
      </c>
      <c r="F974" s="189" t="s">
        <v>1059</v>
      </c>
      <c r="G974" s="456" t="s">
        <v>596</v>
      </c>
      <c r="H974" s="7" t="s">
        <v>642</v>
      </c>
      <c r="I974" s="256"/>
      <c r="J974" s="256"/>
      <c r="K974" s="565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57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1"/>
      <c r="AC974" s="557" t="str">
        <f>IF(VLOOKUP(H974,DS_131,1,0)=H974,"","x")</f>
        <v/>
      </c>
      <c r="AD974" s="557"/>
    </row>
    <row r="975" spans="1:30" s="211" customFormat="1" ht="15.75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65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57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2"/>
      <c r="AC975" s="557"/>
      <c r="AD975" s="557"/>
    </row>
    <row r="976" spans="1:30" s="211" customFormat="1" ht="15.75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65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57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2"/>
      <c r="AC976" s="557" t="str">
        <f>IF(VLOOKUP(H976,DS_131,1,0)=H976,"","x")</f>
        <v/>
      </c>
    </row>
    <row r="977" spans="1:33" s="211" customFormat="1" ht="15.75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65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57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2"/>
      <c r="AC977" s="557"/>
      <c r="AD977" s="557"/>
    </row>
    <row r="978" spans="1:33" s="211" customFormat="1" ht="15.75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1163</v>
      </c>
      <c r="E978" s="184">
        <v>42515</v>
      </c>
      <c r="F978" s="192" t="s">
        <v>1474</v>
      </c>
      <c r="G978" s="456" t="s">
        <v>1070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57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1"/>
      <c r="AC978" s="557" t="str">
        <f>IF(VLOOKUP(F978,NXT!$C$35:$C$411,1,0)=F978,"","x")</f>
        <v/>
      </c>
      <c r="AD978" s="557"/>
    </row>
    <row r="979" spans="1:33" s="211" customFormat="1" ht="15.75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1163</v>
      </c>
      <c r="E979" s="184">
        <v>42515</v>
      </c>
      <c r="F979" s="192" t="s">
        <v>1059</v>
      </c>
      <c r="G979" s="456" t="s">
        <v>1070</v>
      </c>
      <c r="H979" s="210" t="s">
        <v>429</v>
      </c>
      <c r="I979" s="256"/>
      <c r="J979" s="256"/>
      <c r="K979" s="565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57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1"/>
      <c r="AC979" s="557" t="str">
        <f>IF(VLOOKUP(H979,DS_131,1,0)=H979,"","x")</f>
        <v/>
      </c>
      <c r="AD979" s="557"/>
    </row>
    <row r="980" spans="1:33" s="211" customFormat="1" ht="15.75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65">
        <v>50000</v>
      </c>
      <c r="L980" s="566" t="s">
        <v>83</v>
      </c>
      <c r="M980" s="566" t="s">
        <v>24</v>
      </c>
      <c r="N980" s="52" t="str">
        <f>IF(AND('331-CT'!$E$7=TH!H980,OR(L980="331",M980="331")),"331",IF(AND(OR(L980="131",M980="131"),H980='131-CT'!$E$7),"131",""))</f>
        <v/>
      </c>
      <c r="O980" s="857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1">
        <v>3</v>
      </c>
      <c r="AC980" s="557"/>
      <c r="AD980" s="557"/>
      <c r="AE980" s="557"/>
      <c r="AF980" s="557"/>
      <c r="AG980" s="557"/>
    </row>
    <row r="981" spans="1:33" s="211" customFormat="1" ht="15.75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65">
        <v>5000</v>
      </c>
      <c r="L981" s="566" t="s">
        <v>9</v>
      </c>
      <c r="M981" s="566" t="s">
        <v>24</v>
      </c>
      <c r="N981" s="52" t="str">
        <f>IF(AND('331-CT'!$E$7=TH!H981,OR(L981="331",M981="331")),"331",IF(AND(OR(L981="131",M981="131"),H981='131-CT'!$E$7),"131",""))</f>
        <v/>
      </c>
      <c r="O981" s="857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1">
        <v>3</v>
      </c>
      <c r="AC981" s="557"/>
      <c r="AD981" s="557"/>
      <c r="AE981" s="557"/>
      <c r="AF981" s="557"/>
      <c r="AG981" s="557"/>
    </row>
    <row r="982" spans="1:33" s="211" customFormat="1" ht="15.75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65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57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2"/>
      <c r="AC982" s="557" t="str">
        <f>IF(VLOOKUP(H982,DS_131,1,0)=H982,"","x")</f>
        <v/>
      </c>
      <c r="AD982" s="557"/>
    </row>
    <row r="983" spans="1:33" s="211" customFormat="1" ht="15.75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65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57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2"/>
      <c r="AC983" s="557"/>
      <c r="AD983" s="557"/>
    </row>
    <row r="984" spans="1:33" s="211" customFormat="1" ht="15.75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65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57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2"/>
      <c r="AC984" s="557"/>
    </row>
    <row r="985" spans="1:33" s="211" customFormat="1" ht="15.75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1213</v>
      </c>
      <c r="E985" s="184">
        <v>42517</v>
      </c>
      <c r="F985" s="189" t="s">
        <v>337</v>
      </c>
      <c r="G985" s="456" t="s">
        <v>883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57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1">
        <v>2</v>
      </c>
      <c r="AC985" s="557"/>
      <c r="AD985" s="211" t="str">
        <f>IF(VLOOKUP(H985,DSKH,1,0)=H985,"","x")</f>
        <v/>
      </c>
      <c r="AF985" s="557"/>
      <c r="AG985" s="557"/>
    </row>
    <row r="986" spans="1:33" s="211" customFormat="1" ht="15.75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1213</v>
      </c>
      <c r="E986" s="184">
        <v>42517</v>
      </c>
      <c r="F986" s="192" t="s">
        <v>708</v>
      </c>
      <c r="G986" s="456" t="s">
        <v>883</v>
      </c>
      <c r="H986" s="7" t="s">
        <v>842</v>
      </c>
      <c r="I986" s="256"/>
      <c r="J986" s="256"/>
      <c r="K986" s="565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57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1">
        <v>2</v>
      </c>
      <c r="AC986" s="557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883</v>
      </c>
      <c r="H987" s="7" t="s">
        <v>842</v>
      </c>
      <c r="I987" s="256"/>
      <c r="J987" s="256"/>
      <c r="K987" s="565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57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1"/>
      <c r="AC987" s="557"/>
      <c r="AD987" s="557"/>
    </row>
    <row r="988" spans="1:33" s="211" customFormat="1" ht="15.75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1164</v>
      </c>
      <c r="E988" s="184">
        <v>42517</v>
      </c>
      <c r="F988" s="192" t="s">
        <v>466</v>
      </c>
      <c r="G988" s="456" t="s">
        <v>597</v>
      </c>
      <c r="H988" s="867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57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1"/>
      <c r="AC988" s="557" t="str">
        <f>IF(VLOOKUP(F988,NXT!$C$35:$C$411,1,0)=F988,"","x")</f>
        <v/>
      </c>
      <c r="AD988" s="557"/>
    </row>
    <row r="989" spans="1:33" s="211" customFormat="1" ht="15.75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1164</v>
      </c>
      <c r="E989" s="184">
        <v>42517</v>
      </c>
      <c r="F989" s="192" t="s">
        <v>1059</v>
      </c>
      <c r="G989" s="456" t="s">
        <v>597</v>
      </c>
      <c r="H989" s="867" t="s">
        <v>595</v>
      </c>
      <c r="I989" s="256"/>
      <c r="J989" s="256"/>
      <c r="K989" s="565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57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1"/>
      <c r="AC989" s="557" t="str">
        <f>IF(VLOOKUP(H989,DS_131,1,0)=H989,"","x")</f>
        <v/>
      </c>
      <c r="AD989" s="557"/>
    </row>
    <row r="990" spans="1:33" s="211" customFormat="1" ht="15.75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1165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57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1"/>
      <c r="AC990" s="557" t="str">
        <f>IF(VLOOKUP(F990,NXT!$C$35:$C$411,1,0)=F990,"","x")</f>
        <v/>
      </c>
      <c r="AD990" s="557"/>
    </row>
    <row r="991" spans="1:33" s="211" customFormat="1" ht="15.75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1165</v>
      </c>
      <c r="E991" s="184">
        <v>42517</v>
      </c>
      <c r="F991" s="192" t="s">
        <v>943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57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1"/>
      <c r="AC991" s="557" t="str">
        <f>IF(VLOOKUP(F991,NXT!$C$35:$C$411,1,0)=F991,"","x")</f>
        <v/>
      </c>
    </row>
    <row r="992" spans="1:33" s="211" customFormat="1" ht="15.75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1165</v>
      </c>
      <c r="E992" s="184">
        <v>42517</v>
      </c>
      <c r="F992" s="192" t="s">
        <v>1059</v>
      </c>
      <c r="G992" s="456" t="s">
        <v>598</v>
      </c>
      <c r="H992" s="7" t="s">
        <v>557</v>
      </c>
      <c r="I992" s="256"/>
      <c r="J992" s="256"/>
      <c r="K992" s="565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57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1"/>
      <c r="AC992" s="557" t="str">
        <f>IF(VLOOKUP(H992,DS_131,1,0)=H992,"","x")</f>
        <v/>
      </c>
      <c r="AD992" s="557"/>
    </row>
    <row r="993" spans="1:30" s="211" customFormat="1" ht="15.75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1166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57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1"/>
      <c r="AC993" s="557" t="str">
        <f>IF(VLOOKUP(F993,NXT!$C$35:$C$411,1,0)=F993,"","x")</f>
        <v/>
      </c>
    </row>
    <row r="994" spans="1:30" s="211" customFormat="1" ht="15.75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1166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57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1"/>
      <c r="AC994" s="557" t="str">
        <f>IF(VLOOKUP(F994,NXT!$C$35:$C$411,1,0)=F994,"","x")</f>
        <v/>
      </c>
      <c r="AD994" s="557"/>
    </row>
    <row r="995" spans="1:30" s="211" customFormat="1" ht="15.75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1166</v>
      </c>
      <c r="E995" s="191">
        <v>42518</v>
      </c>
      <c r="F995" s="192" t="s">
        <v>1059</v>
      </c>
      <c r="G995" s="456" t="s">
        <v>600</v>
      </c>
      <c r="H995" s="193" t="s">
        <v>447</v>
      </c>
      <c r="I995" s="256"/>
      <c r="J995" s="256"/>
      <c r="K995" s="565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57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1"/>
      <c r="AC995" s="557" t="str">
        <f>IF(VLOOKUP(H995,DS_131,1,0)=H995,"","x")</f>
        <v/>
      </c>
    </row>
    <row r="996" spans="1:30" s="211" customFormat="1" ht="15.75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1167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57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1"/>
      <c r="AC996" s="557" t="str">
        <f>IF(VLOOKUP(F996,NXT!$C$35:$C$411,1,0)=F996,"","x")</f>
        <v/>
      </c>
      <c r="AD996" s="557"/>
    </row>
    <row r="997" spans="1:30" s="211" customFormat="1" ht="15.75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1167</v>
      </c>
      <c r="E997" s="184">
        <v>42519</v>
      </c>
      <c r="F997" s="192" t="s">
        <v>1059</v>
      </c>
      <c r="G997" s="456" t="s">
        <v>599</v>
      </c>
      <c r="H997" s="7" t="s">
        <v>557</v>
      </c>
      <c r="I997" s="256"/>
      <c r="J997" s="256"/>
      <c r="K997" s="565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57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1"/>
      <c r="AC997" s="557" t="str">
        <f>IF(VLOOKUP(H997,DS_131,1,0)=H997,"","x")</f>
        <v/>
      </c>
    </row>
    <row r="998" spans="1:30" s="211" customFormat="1" ht="15.75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1168</v>
      </c>
      <c r="E998" s="191">
        <v>42520</v>
      </c>
      <c r="F998" s="192" t="s">
        <v>1071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57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1"/>
      <c r="AC998" s="557" t="str">
        <f>IF(VLOOKUP(F998,NXT!$C$35:$C$411,1,0)=F998,"","x")</f>
        <v/>
      </c>
      <c r="AD998" s="557"/>
    </row>
    <row r="999" spans="1:30" s="211" customFormat="1" ht="15.75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1168</v>
      </c>
      <c r="E999" s="191">
        <v>42520</v>
      </c>
      <c r="F999" s="192" t="s">
        <v>1072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57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1"/>
      <c r="AC999" s="557" t="str">
        <f>IF(VLOOKUP(F999,NXT!$C$35:$C$411,1,0)=F999,"","x")</f>
        <v/>
      </c>
      <c r="AD999" s="557"/>
    </row>
    <row r="1000" spans="1:30" s="211" customFormat="1" ht="15.75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1168</v>
      </c>
      <c r="E1000" s="191">
        <v>42520</v>
      </c>
      <c r="F1000" s="192" t="s">
        <v>1073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57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1"/>
      <c r="AC1000" s="557" t="str">
        <f>IF(VLOOKUP(F1000,NXT!$C$35:$C$411,1,0)=F1000,"","x")</f>
        <v/>
      </c>
      <c r="AD1000" s="557"/>
    </row>
    <row r="1001" spans="1:30" s="211" customFormat="1" ht="15.75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1168</v>
      </c>
      <c r="E1001" s="191">
        <v>42520</v>
      </c>
      <c r="F1001" s="192" t="s">
        <v>1059</v>
      </c>
      <c r="G1001" s="456" t="s">
        <v>602</v>
      </c>
      <c r="H1001" s="7" t="s">
        <v>828</v>
      </c>
      <c r="I1001" s="256"/>
      <c r="J1001" s="256"/>
      <c r="K1001" s="565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57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1"/>
      <c r="AC1001" s="557" t="str">
        <f>IF(VLOOKUP(H1001,DS_131,1,0)=H1001,"","x")</f>
        <v/>
      </c>
      <c r="AD1001" s="557"/>
    </row>
    <row r="1002" spans="1:30" s="211" customFormat="1" ht="15.75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65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57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2"/>
      <c r="AC1002" s="557" t="str">
        <f>IF(VLOOKUP(H1002,DS_131,1,0)=H1002,"","x")</f>
        <v/>
      </c>
      <c r="AD1002" s="557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65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57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2"/>
      <c r="AC1003" s="557"/>
      <c r="AD1003" s="557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65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57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2"/>
      <c r="AC1004" s="557"/>
      <c r="AD1004" s="557"/>
    </row>
    <row r="1005" spans="1:30" s="211" customFormat="1" ht="15.75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1552</v>
      </c>
      <c r="G1005" s="192" t="s">
        <v>332</v>
      </c>
      <c r="H1005" s="7" t="s">
        <v>823</v>
      </c>
      <c r="I1005" s="256"/>
      <c r="J1005" s="256"/>
      <c r="K1005" s="565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57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2"/>
      <c r="AC1005" s="557"/>
      <c r="AD1005" s="557"/>
    </row>
    <row r="1006" spans="1:30" s="211" customFormat="1" ht="15.75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65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57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1">
        <v>2</v>
      </c>
      <c r="AC1006" s="557"/>
      <c r="AD1006" s="557"/>
    </row>
    <row r="1007" spans="1:30" s="211" customFormat="1" ht="15.75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65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57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1">
        <v>2</v>
      </c>
      <c r="AC1007" s="557"/>
      <c r="AD1007" s="557"/>
    </row>
    <row r="1008" spans="1:30" s="211" customFormat="1" ht="15.75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65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57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1">
        <v>2</v>
      </c>
      <c r="AC1008" s="557"/>
      <c r="AD1008" s="557"/>
    </row>
    <row r="1009" spans="1:33" s="211" customFormat="1" ht="15.75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65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57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1">
        <v>2</v>
      </c>
      <c r="AC1009" s="557"/>
      <c r="AD1009" s="557"/>
    </row>
    <row r="1010" spans="1:33" s="211" customFormat="1" ht="15.75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873</v>
      </c>
      <c r="I1010" s="256"/>
      <c r="J1010" s="256"/>
      <c r="K1010" s="565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57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1">
        <v>2</v>
      </c>
      <c r="AC1010" s="557"/>
      <c r="AD1010" s="557"/>
    </row>
    <row r="1011" spans="1:33" s="211" customFormat="1" ht="15.75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873</v>
      </c>
      <c r="I1011" s="256"/>
      <c r="J1011" s="256"/>
      <c r="K1011" s="565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57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1">
        <v>2</v>
      </c>
      <c r="AC1011" s="557"/>
    </row>
    <row r="1012" spans="1:33" s="211" customFormat="1" ht="15.75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1230</v>
      </c>
      <c r="E1012" s="184">
        <v>42521</v>
      </c>
      <c r="F1012" s="189" t="s">
        <v>884</v>
      </c>
      <c r="G1012" s="456" t="s">
        <v>885</v>
      </c>
      <c r="H1012" s="7" t="s">
        <v>886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57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1">
        <v>2</v>
      </c>
      <c r="AC1012" s="557"/>
      <c r="AD1012" s="211" t="str">
        <f>IF(VLOOKUP(H1012,DSKH,1,0)=H1012,"","x")</f>
        <v/>
      </c>
      <c r="AF1012" s="557"/>
      <c r="AG1012" s="557"/>
    </row>
    <row r="1013" spans="1:33" s="211" customFormat="1" ht="15.75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1230</v>
      </c>
      <c r="E1013" s="184">
        <v>42521</v>
      </c>
      <c r="F1013" s="189" t="s">
        <v>1279</v>
      </c>
      <c r="G1013" s="456" t="s">
        <v>885</v>
      </c>
      <c r="H1013" s="7" t="s">
        <v>886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57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1">
        <v>2</v>
      </c>
      <c r="AC1013" s="557"/>
      <c r="AD1013" s="211" t="str">
        <f>IF(VLOOKUP(H1013,DSKH,1,0)=H1013,"","x")</f>
        <v/>
      </c>
      <c r="AF1013" s="557"/>
      <c r="AG1013" s="557"/>
    </row>
    <row r="1014" spans="1:33" s="211" customFormat="1" ht="15.75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1230</v>
      </c>
      <c r="E1014" s="184">
        <v>42521</v>
      </c>
      <c r="F1014" s="189" t="s">
        <v>887</v>
      </c>
      <c r="G1014" s="456" t="s">
        <v>885</v>
      </c>
      <c r="H1014" s="7" t="s">
        <v>886</v>
      </c>
      <c r="I1014" s="256"/>
      <c r="J1014" s="256"/>
      <c r="K1014" s="565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57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1">
        <v>2</v>
      </c>
      <c r="AC1014" s="557"/>
      <c r="AD1014" s="211" t="str">
        <f>IF(VLOOKUP(H1014,DSKH,1,0)=H1014,"","x")</f>
        <v/>
      </c>
      <c r="AF1014" s="557"/>
      <c r="AG1014" s="557"/>
    </row>
    <row r="1015" spans="1:33" s="211" customFormat="1" ht="15.75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1169</v>
      </c>
      <c r="E1015" s="191">
        <v>42522</v>
      </c>
      <c r="F1015" s="192" t="s">
        <v>419</v>
      </c>
      <c r="G1015" s="456" t="s">
        <v>603</v>
      </c>
      <c r="H1015" s="7" t="s">
        <v>1074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57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1"/>
      <c r="AC1015" s="557" t="str">
        <f>IF(VLOOKUP(F1015,NXT!$C$35:$C$411,1,0)=F1015,"","x")</f>
        <v/>
      </c>
      <c r="AD1015" s="557"/>
    </row>
    <row r="1016" spans="1:33" s="211" customFormat="1" ht="15.75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1169</v>
      </c>
      <c r="E1016" s="191">
        <v>42522</v>
      </c>
      <c r="F1016" s="192" t="s">
        <v>471</v>
      </c>
      <c r="G1016" s="456" t="s">
        <v>603</v>
      </c>
      <c r="H1016" s="7" t="s">
        <v>1074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57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1"/>
      <c r="AC1016" s="557" t="str">
        <f>IF(VLOOKUP(F1016,NXT!$C$35:$C$411,1,0)=F1016,"","x")</f>
        <v/>
      </c>
      <c r="AD1016" s="557"/>
    </row>
    <row r="1017" spans="1:33" s="211" customFormat="1" ht="15.75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1169</v>
      </c>
      <c r="E1017" s="191">
        <v>42522</v>
      </c>
      <c r="F1017" s="192" t="s">
        <v>1059</v>
      </c>
      <c r="G1017" s="456" t="s">
        <v>603</v>
      </c>
      <c r="H1017" s="7" t="s">
        <v>1074</v>
      </c>
      <c r="I1017" s="256"/>
      <c r="J1017" s="256"/>
      <c r="K1017" s="565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57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1"/>
      <c r="AC1017" s="557" t="str">
        <f>IF(VLOOKUP(H1017,DS_131,1,0)=H1017,"","x")</f>
        <v/>
      </c>
      <c r="AD1017" s="557"/>
    </row>
    <row r="1018" spans="1:33" s="211" customFormat="1" ht="15.75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1170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57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1"/>
      <c r="AC1018" s="557" t="str">
        <f>IF(VLOOKUP(F1018,NXT!$C$35:$C$411,1,0)=F1018,"","x")</f>
        <v/>
      </c>
      <c r="AD1018" s="557"/>
    </row>
    <row r="1019" spans="1:33" s="211" customFormat="1" ht="15.75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1170</v>
      </c>
      <c r="E1019" s="191">
        <v>42522</v>
      </c>
      <c r="F1019" s="192" t="s">
        <v>1059</v>
      </c>
      <c r="G1019" s="456" t="s">
        <v>604</v>
      </c>
      <c r="H1019" s="7" t="s">
        <v>557</v>
      </c>
      <c r="I1019" s="256"/>
      <c r="J1019" s="256"/>
      <c r="K1019" s="565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57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1"/>
      <c r="AC1019" s="557" t="str">
        <f>IF(VLOOKUP(H1019,DS_131,1,0)=H1019,"","x")</f>
        <v/>
      </c>
      <c r="AD1019" s="557"/>
    </row>
    <row r="1020" spans="1:33" s="211" customFormat="1" ht="15.75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1171</v>
      </c>
      <c r="E1020" s="191">
        <v>42522</v>
      </c>
      <c r="F1020" s="192" t="s">
        <v>964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57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1"/>
      <c r="AC1020" s="557" t="str">
        <f>IF(VLOOKUP(F1020,NXT!$C$35:$C$411,1,0)=F1020,"","x")</f>
        <v/>
      </c>
    </row>
    <row r="1021" spans="1:33" s="211" customFormat="1" ht="15.75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1171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57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1"/>
      <c r="AC1021" s="557" t="str">
        <f>IF(VLOOKUP(F1021,NXT!$C$35:$C$411,1,0)=F1021,"","x")</f>
        <v/>
      </c>
      <c r="AD1021" s="557"/>
    </row>
    <row r="1022" spans="1:33" s="211" customFormat="1" ht="15.75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1171</v>
      </c>
      <c r="E1022" s="191">
        <v>42522</v>
      </c>
      <c r="F1022" s="192" t="s">
        <v>1075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57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1"/>
      <c r="AC1022" s="557" t="str">
        <f>IF(VLOOKUP(F1022,NXT!$C$35:$C$411,1,0)=F1022,"","x")</f>
        <v/>
      </c>
    </row>
    <row r="1023" spans="1:33" s="211" customFormat="1" ht="15.75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1171</v>
      </c>
      <c r="E1023" s="191">
        <v>42522</v>
      </c>
      <c r="F1023" s="192" t="s">
        <v>964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57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1"/>
      <c r="AC1023" s="557" t="str">
        <f>IF(VLOOKUP(F1023,NXT!$C$35:$C$411,1,0)=F1023,"","x")</f>
        <v/>
      </c>
      <c r="AD1023" s="557"/>
    </row>
    <row r="1024" spans="1:33" s="211" customFormat="1" ht="15.75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1171</v>
      </c>
      <c r="E1024" s="191">
        <v>42522</v>
      </c>
      <c r="F1024" s="189" t="s">
        <v>1076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57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1"/>
      <c r="AC1024" s="557" t="str">
        <f>IF(VLOOKUP(F1024,NXT!$C$35:$C$411,1,0)=F1024,"","x")</f>
        <v/>
      </c>
      <c r="AD1024" s="557"/>
    </row>
    <row r="1025" spans="1:30" s="211" customFormat="1" ht="15.75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1171</v>
      </c>
      <c r="E1025" s="191">
        <v>42522</v>
      </c>
      <c r="F1025" s="192" t="s">
        <v>1077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57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1"/>
      <c r="AC1025" s="557" t="str">
        <f>IF(VLOOKUP(F1025,NXT!$C$35:$C$411,1,0)=F1025,"","x")</f>
        <v/>
      </c>
      <c r="AD1025" s="557"/>
    </row>
    <row r="1026" spans="1:30" s="211" customFormat="1" ht="15.75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1171</v>
      </c>
      <c r="E1026" s="191">
        <v>42522</v>
      </c>
      <c r="F1026" s="192" t="s">
        <v>1078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57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1"/>
      <c r="AC1026" s="557" t="str">
        <f>IF(VLOOKUP(F1026,NXT!$C$35:$C$411,1,0)=F1026,"","x")</f>
        <v/>
      </c>
      <c r="AD1026" s="557"/>
    </row>
    <row r="1027" spans="1:30" s="211" customFormat="1" ht="15.75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1171</v>
      </c>
      <c r="E1027" s="191">
        <v>42522</v>
      </c>
      <c r="F1027" s="192" t="s">
        <v>1079</v>
      </c>
      <c r="G1027" s="192" t="s">
        <v>605</v>
      </c>
      <c r="H1027" s="193" t="s">
        <v>639</v>
      </c>
      <c r="I1027" s="743">
        <v>55</v>
      </c>
      <c r="J1027" s="743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57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1"/>
      <c r="AC1027" s="557" t="str">
        <f>IF(VLOOKUP(F1027,NXT!$C$35:$C$411,1,0)=F1027,"","x")</f>
        <v/>
      </c>
    </row>
    <row r="1028" spans="1:30" s="211" customFormat="1" ht="15.75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1171</v>
      </c>
      <c r="E1028" s="191">
        <v>42522</v>
      </c>
      <c r="F1028" s="192" t="s">
        <v>1080</v>
      </c>
      <c r="G1028" s="192" t="s">
        <v>605</v>
      </c>
      <c r="H1028" s="193" t="s">
        <v>639</v>
      </c>
      <c r="I1028" s="743">
        <v>210</v>
      </c>
      <c r="J1028" s="743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57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1"/>
      <c r="AC1028" s="557" t="str">
        <f>IF(VLOOKUP(F1028,NXT!$C$35:$C$411,1,0)=F1028,"","x")</f>
        <v/>
      </c>
      <c r="AD1028" s="557"/>
    </row>
    <row r="1029" spans="1:30" s="211" customFormat="1" ht="15.75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1171</v>
      </c>
      <c r="E1029" s="191">
        <v>42522</v>
      </c>
      <c r="F1029" s="189" t="s">
        <v>1059</v>
      </c>
      <c r="G1029" s="192" t="s">
        <v>605</v>
      </c>
      <c r="H1029" s="193" t="s">
        <v>639</v>
      </c>
      <c r="I1029" s="743"/>
      <c r="J1029" s="743"/>
      <c r="K1029" s="565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57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1"/>
      <c r="AC1029" s="557" t="str">
        <f>IF(VLOOKUP(H1029,DS_131,1,0)=H1029,"","x")</f>
        <v/>
      </c>
      <c r="AD1029" s="557"/>
    </row>
    <row r="1030" spans="1:30" s="211" customFormat="1" ht="15.75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1172</v>
      </c>
      <c r="E1030" s="191">
        <v>42522</v>
      </c>
      <c r="F1030" s="291" t="s">
        <v>1081</v>
      </c>
      <c r="G1030" s="192" t="s">
        <v>606</v>
      </c>
      <c r="H1030" s="193" t="s">
        <v>639</v>
      </c>
      <c r="I1030" s="743">
        <v>210</v>
      </c>
      <c r="J1030" s="743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57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1"/>
      <c r="AC1030" s="557" t="str">
        <f>IF(VLOOKUP(F1030,NXT!$C$35:$C$411,1,0)=F1030,"","x")</f>
        <v/>
      </c>
    </row>
    <row r="1031" spans="1:30" s="211" customFormat="1" ht="15.75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1172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3">
        <v>204</v>
      </c>
      <c r="J1031" s="743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57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1"/>
      <c r="AC1031" s="557" t="str">
        <f>IF(VLOOKUP(F1031,NXT!$C$35:$C$411,1,0)=F1031,"","x")</f>
        <v/>
      </c>
      <c r="AD1031" s="557"/>
    </row>
    <row r="1032" spans="1:30" s="211" customFormat="1" ht="15.75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1172</v>
      </c>
      <c r="E1032" s="191">
        <v>42522</v>
      </c>
      <c r="F1032" s="291" t="s">
        <v>1059</v>
      </c>
      <c r="G1032" s="192" t="s">
        <v>606</v>
      </c>
      <c r="H1032" s="193" t="s">
        <v>639</v>
      </c>
      <c r="I1032" s="743"/>
      <c r="J1032" s="743"/>
      <c r="K1032" s="565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57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1"/>
      <c r="AC1032" s="557" t="str">
        <f>IF(VLOOKUP(H1032,DS_131,1,0)=H1032,"","x")</f>
        <v/>
      </c>
      <c r="AD1032" s="557"/>
    </row>
    <row r="1033" spans="1:30" s="211" customFormat="1" ht="15.75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1173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3">
        <v>220</v>
      </c>
      <c r="J1033" s="743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57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1"/>
      <c r="AC1033" s="557" t="str">
        <f>IF(VLOOKUP(F1033,NXT!$C$35:$C$411,1,0)=F1033,"","x")</f>
        <v/>
      </c>
    </row>
    <row r="1034" spans="1:30" s="211" customFormat="1" ht="15.75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1173</v>
      </c>
      <c r="E1034" s="191">
        <v>42522</v>
      </c>
      <c r="F1034" s="189" t="s">
        <v>1059</v>
      </c>
      <c r="G1034" s="192" t="s">
        <v>607</v>
      </c>
      <c r="H1034" s="193" t="s">
        <v>447</v>
      </c>
      <c r="I1034" s="743"/>
      <c r="J1034" s="743"/>
      <c r="K1034" s="565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57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1"/>
      <c r="AC1034" s="557" t="str">
        <f>IF(VLOOKUP(H1034,DS_131,1,0)=H1034,"","x")</f>
        <v/>
      </c>
      <c r="AD1034" s="557"/>
    </row>
    <row r="1035" spans="1:30" s="211" customFormat="1" ht="15.75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65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57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2"/>
      <c r="AC1035" s="557" t="str">
        <f>IF(VLOOKUP(H1035,DS_131,1,0)=H1035,"","x")</f>
        <v/>
      </c>
      <c r="AD1035" s="557"/>
    </row>
    <row r="1036" spans="1:30" s="211" customFormat="1" ht="15.75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65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57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2"/>
      <c r="AC1036" s="557" t="str">
        <f>IF(VLOOKUP(H1036,DS_131,1,0)=H1036,"","x")</f>
        <v/>
      </c>
    </row>
    <row r="1037" spans="1:30" s="211" customFormat="1" ht="15.75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65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57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2"/>
      <c r="AC1037" s="557" t="str">
        <f>IF(VLOOKUP(H1037,DS_131,1,0)=H1037,"","x")</f>
        <v/>
      </c>
      <c r="AD1037" s="557"/>
    </row>
    <row r="1038" spans="1:30" s="211" customFormat="1" ht="15.75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65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57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2"/>
      <c r="AC1038" s="557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65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57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2"/>
      <c r="AC1039" s="557"/>
      <c r="AD1039" s="557"/>
    </row>
    <row r="1040" spans="1:30" s="211" customFormat="1" ht="15.75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65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57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1">
        <v>2</v>
      </c>
      <c r="AC1040" s="557"/>
      <c r="AD1040" s="557"/>
    </row>
    <row r="1041" spans="1:33" s="211" customFormat="1" ht="15.75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65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57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1">
        <v>2</v>
      </c>
      <c r="AC1041" s="557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65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57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2"/>
      <c r="AC1042" s="557"/>
      <c r="AD1042" s="557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65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57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2"/>
      <c r="AC1043" s="557"/>
      <c r="AD1043" s="557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65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57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2"/>
      <c r="AC1044" s="557"/>
    </row>
    <row r="1045" spans="1:33" s="211" customFormat="1" ht="15.75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65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57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1">
        <v>2</v>
      </c>
      <c r="AC1045" s="557"/>
      <c r="AD1045" s="557"/>
    </row>
    <row r="1046" spans="1:33" s="211" customFormat="1" ht="15.75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65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57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1">
        <v>2</v>
      </c>
      <c r="AC1046" s="557"/>
      <c r="AD1046" s="557"/>
    </row>
    <row r="1047" spans="1:33" s="211" customFormat="1" ht="15.75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65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57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1">
        <v>2</v>
      </c>
      <c r="AC1047" s="557"/>
      <c r="AD1047" s="557"/>
    </row>
    <row r="1048" spans="1:33" s="211" customFormat="1" ht="15.75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65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57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1">
        <v>2</v>
      </c>
      <c r="AC1048" s="557"/>
      <c r="AD1048" s="557"/>
    </row>
    <row r="1049" spans="1:33" s="211" customFormat="1" ht="15.75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65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57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1">
        <v>2</v>
      </c>
      <c r="AC1049" s="557"/>
    </row>
    <row r="1050" spans="1:33" s="211" customFormat="1" ht="15.75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65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57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1">
        <v>2</v>
      </c>
      <c r="AC1050" s="557"/>
      <c r="AD1050" s="557"/>
    </row>
    <row r="1051" spans="1:33" s="211" customFormat="1" ht="15.75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65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57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1">
        <v>2</v>
      </c>
      <c r="AC1051" s="557"/>
      <c r="AD1051" s="557"/>
    </row>
    <row r="1052" spans="1:33" s="211" customFormat="1" ht="15.75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65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57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1">
        <v>2</v>
      </c>
      <c r="AC1052" s="557"/>
      <c r="AD1052" s="557"/>
    </row>
    <row r="1053" spans="1:33" s="211" customFormat="1" ht="15.75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1214</v>
      </c>
      <c r="E1053" s="184">
        <v>42527</v>
      </c>
      <c r="F1053" s="189" t="s">
        <v>844</v>
      </c>
      <c r="G1053" s="456" t="s">
        <v>654</v>
      </c>
      <c r="H1053" s="750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57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1">
        <v>2</v>
      </c>
      <c r="AC1053" s="557"/>
      <c r="AD1053" s="211" t="str">
        <f>IF(VLOOKUP(H1053,DSKH,1,0)=H1053,"","x")</f>
        <v/>
      </c>
      <c r="AF1053" s="557"/>
      <c r="AG1053" s="557"/>
    </row>
    <row r="1054" spans="1:33" s="211" customFormat="1" ht="15.75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1214</v>
      </c>
      <c r="E1054" s="184">
        <v>42527</v>
      </c>
      <c r="F1054" s="192" t="s">
        <v>845</v>
      </c>
      <c r="G1054" s="456" t="s">
        <v>654</v>
      </c>
      <c r="H1054" s="750" t="s">
        <v>716</v>
      </c>
      <c r="I1054" s="256"/>
      <c r="J1054" s="256"/>
      <c r="K1054" s="565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57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1">
        <v>2</v>
      </c>
      <c r="AC1054" s="557"/>
      <c r="AD1054" s="211" t="str">
        <f>IF(VLOOKUP(H1054,DSKH,1,0)=H1054,"","x")</f>
        <v/>
      </c>
      <c r="AF1054" s="557"/>
      <c r="AG1054" s="557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0" t="s">
        <v>716</v>
      </c>
      <c r="I1055" s="256"/>
      <c r="J1055" s="256"/>
      <c r="K1055" s="565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57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1"/>
      <c r="AC1055" s="557"/>
      <c r="AD1055" s="557"/>
      <c r="AF1055" s="557"/>
      <c r="AG1055" s="557"/>
    </row>
    <row r="1056" spans="1:33" s="211" customFormat="1" ht="15.75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1215</v>
      </c>
      <c r="E1056" s="184">
        <v>42527</v>
      </c>
      <c r="F1056" s="192" t="s">
        <v>888</v>
      </c>
      <c r="G1056" s="456" t="s">
        <v>653</v>
      </c>
      <c r="H1056" s="7" t="s">
        <v>889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57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1">
        <v>2</v>
      </c>
      <c r="AC1056" s="557"/>
      <c r="AD1056" s="211" t="str">
        <f>IF(VLOOKUP(H1056,DSKH,1,0)=H1056,"","x")</f>
        <v/>
      </c>
      <c r="AF1056" s="557"/>
      <c r="AG1056" s="557"/>
    </row>
    <row r="1057" spans="1:33" s="211" customFormat="1" ht="15.75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1215</v>
      </c>
      <c r="E1057" s="184">
        <v>42527</v>
      </c>
      <c r="F1057" s="189" t="s">
        <v>890</v>
      </c>
      <c r="G1057" s="456" t="s">
        <v>653</v>
      </c>
      <c r="H1057" s="7" t="s">
        <v>889</v>
      </c>
      <c r="I1057" s="256"/>
      <c r="J1057" s="256"/>
      <c r="K1057" s="565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57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1">
        <v>2</v>
      </c>
      <c r="AC1057" s="557"/>
      <c r="AD1057" s="211" t="str">
        <f>IF(VLOOKUP(H1057,DSKH,1,0)=H1057,"","x")</f>
        <v/>
      </c>
      <c r="AF1057" s="557"/>
      <c r="AG1057" s="557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891</v>
      </c>
      <c r="G1058" s="456" t="s">
        <v>653</v>
      </c>
      <c r="H1058" s="7" t="s">
        <v>889</v>
      </c>
      <c r="I1058" s="256"/>
      <c r="J1058" s="256"/>
      <c r="K1058" s="565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57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1"/>
      <c r="AC1058" s="557"/>
      <c r="AD1058" s="557"/>
      <c r="AF1058" s="557"/>
      <c r="AG1058" s="557"/>
    </row>
    <row r="1059" spans="1:33" s="211" customFormat="1" ht="15.75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1174</v>
      </c>
      <c r="E1059" s="191">
        <v>42527</v>
      </c>
      <c r="F1059" s="192" t="s">
        <v>444</v>
      </c>
      <c r="G1059" s="192" t="s">
        <v>608</v>
      </c>
      <c r="H1059" s="7" t="s">
        <v>1074</v>
      </c>
      <c r="I1059" s="743">
        <v>780</v>
      </c>
      <c r="J1059" s="743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57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1"/>
      <c r="AC1059" s="557" t="str">
        <f>IF(VLOOKUP(F1059,NXT!$C$35:$C$411,1,0)=F1059,"","x")</f>
        <v/>
      </c>
    </row>
    <row r="1060" spans="1:33" s="211" customFormat="1" ht="15.75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1174</v>
      </c>
      <c r="E1060" s="191">
        <v>42527</v>
      </c>
      <c r="F1060" s="192" t="s">
        <v>1059</v>
      </c>
      <c r="G1060" s="192" t="s">
        <v>608</v>
      </c>
      <c r="H1060" s="7" t="s">
        <v>1074</v>
      </c>
      <c r="I1060" s="743"/>
      <c r="J1060" s="743"/>
      <c r="K1060" s="565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57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1"/>
      <c r="AC1060" s="557" t="str">
        <f>IF(VLOOKUP(H1060,DS_131,1,0)=H1060,"","x")</f>
        <v/>
      </c>
      <c r="AD1060" s="557"/>
    </row>
    <row r="1061" spans="1:33" s="211" customFormat="1" ht="15.75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1175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3">
        <v>2000</v>
      </c>
      <c r="J1061" s="743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57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1"/>
      <c r="AC1061" s="557" t="str">
        <f>IF(VLOOKUP(F1061,NXT!$C$35:$C$411,1,0)=F1061,"","x")</f>
        <v/>
      </c>
    </row>
    <row r="1062" spans="1:33" s="211" customFormat="1" ht="15.75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1175</v>
      </c>
      <c r="E1062" s="191">
        <v>42527</v>
      </c>
      <c r="F1062" s="189" t="s">
        <v>1059</v>
      </c>
      <c r="G1062" s="192" t="s">
        <v>609</v>
      </c>
      <c r="H1062" s="210" t="s">
        <v>531</v>
      </c>
      <c r="I1062" s="743"/>
      <c r="J1062" s="743"/>
      <c r="K1062" s="565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57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1"/>
      <c r="AC1062" s="557" t="str">
        <f>IF(VLOOKUP(H1062,DS_131,1,0)=H1062,"","x")</f>
        <v/>
      </c>
      <c r="AD1062" s="557"/>
    </row>
    <row r="1063" spans="1:33" s="211" customFormat="1" ht="15.75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1176</v>
      </c>
      <c r="E1063" s="191">
        <v>42527</v>
      </c>
      <c r="F1063" s="192" t="s">
        <v>466</v>
      </c>
      <c r="G1063" s="192" t="s">
        <v>1082</v>
      </c>
      <c r="H1063" s="867" t="s">
        <v>595</v>
      </c>
      <c r="I1063" s="743">
        <v>517</v>
      </c>
      <c r="J1063" s="743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57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1"/>
      <c r="AC1063" s="557" t="str">
        <f>IF(VLOOKUP(F1063,NXT!$C$35:$C$411,1,0)=F1063,"","x")</f>
        <v/>
      </c>
      <c r="AD1063" s="557"/>
    </row>
    <row r="1064" spans="1:33" s="211" customFormat="1" ht="15.75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1176</v>
      </c>
      <c r="E1064" s="191">
        <v>42527</v>
      </c>
      <c r="F1064" s="192" t="s">
        <v>1059</v>
      </c>
      <c r="G1064" s="192" t="s">
        <v>1082</v>
      </c>
      <c r="H1064" s="867" t="s">
        <v>595</v>
      </c>
      <c r="I1064" s="743"/>
      <c r="J1064" s="743"/>
      <c r="K1064" s="565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57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1"/>
      <c r="AC1064" s="557" t="str">
        <f>IF(VLOOKUP(H1064,DS_131,1,0)=H1064,"","x")</f>
        <v/>
      </c>
      <c r="AD1064" s="557"/>
    </row>
    <row r="1065" spans="1:33" s="211" customFormat="1" ht="15.75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1307</v>
      </c>
      <c r="G1065" s="453" t="s">
        <v>787</v>
      </c>
      <c r="H1065" s="193"/>
      <c r="I1065" s="256"/>
      <c r="J1065" s="256"/>
      <c r="K1065" s="565">
        <v>18000</v>
      </c>
      <c r="L1065" s="566" t="s">
        <v>83</v>
      </c>
      <c r="M1065" s="566" t="s">
        <v>24</v>
      </c>
      <c r="N1065" s="52" t="str">
        <f>IF(AND('331-CT'!$E$7=TH!H1065,OR(L1065="331",M1065="331")),"331",IF(AND(OR(L1065="131",M1065="131"),H1065='131-CT'!$E$7),"131",""))</f>
        <v/>
      </c>
      <c r="O1065" s="857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1">
        <v>3</v>
      </c>
      <c r="AC1065" s="557"/>
      <c r="AD1065" s="557"/>
      <c r="AE1065" s="557"/>
      <c r="AF1065" s="557"/>
      <c r="AG1065" s="557"/>
    </row>
    <row r="1066" spans="1:33" s="211" customFormat="1" ht="15.75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1308</v>
      </c>
      <c r="G1066" s="453" t="s">
        <v>787</v>
      </c>
      <c r="H1066" s="193"/>
      <c r="I1066" s="256"/>
      <c r="J1066" s="256"/>
      <c r="K1066" s="565">
        <v>1800</v>
      </c>
      <c r="L1066" s="566" t="s">
        <v>9</v>
      </c>
      <c r="M1066" s="566" t="s">
        <v>24</v>
      </c>
      <c r="N1066" s="52" t="str">
        <f>IF(AND('331-CT'!$E$7=TH!H1066,OR(L1066="331",M1066="331")),"331",IF(AND(OR(L1066="131",M1066="131"),H1066='131-CT'!$E$7),"131",""))</f>
        <v/>
      </c>
      <c r="O1066" s="857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1">
        <v>3</v>
      </c>
      <c r="AC1066" s="557"/>
      <c r="AD1066" s="557"/>
      <c r="AE1066" s="557"/>
      <c r="AF1066" s="557"/>
      <c r="AG1066" s="557"/>
    </row>
    <row r="1067" spans="1:33" s="211" customFormat="1" ht="15.75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1177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3">
        <v>308</v>
      </c>
      <c r="J1067" s="743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57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1"/>
      <c r="AC1067" s="557" t="str">
        <f>IF(VLOOKUP(F1067,NXT!$C$35:$C$411,1,0)=F1067,"","x")</f>
        <v/>
      </c>
    </row>
    <row r="1068" spans="1:33" s="211" customFormat="1" ht="15.75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1177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3">
        <v>308</v>
      </c>
      <c r="J1068" s="743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57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1"/>
      <c r="AC1068" s="557" t="str">
        <f>IF(VLOOKUP(F1068,NXT!$C$35:$C$411,1,0)=F1068,"","x")</f>
        <v/>
      </c>
      <c r="AD1068" s="557"/>
    </row>
    <row r="1069" spans="1:33" s="211" customFormat="1" ht="15.75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1177</v>
      </c>
      <c r="E1069" s="191">
        <v>42528</v>
      </c>
      <c r="F1069" s="291" t="s">
        <v>1059</v>
      </c>
      <c r="G1069" s="192" t="s">
        <v>610</v>
      </c>
      <c r="H1069" s="7" t="s">
        <v>429</v>
      </c>
      <c r="I1069" s="743"/>
      <c r="J1069" s="743"/>
      <c r="K1069" s="565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57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1"/>
      <c r="AC1069" s="557" t="str">
        <f>IF(VLOOKUP(H1069,DS_131,1,0)=H1069,"","x")</f>
        <v/>
      </c>
    </row>
    <row r="1070" spans="1:33" s="211" customFormat="1" ht="15.75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1178</v>
      </c>
      <c r="E1070" s="191">
        <v>42529</v>
      </c>
      <c r="F1070" s="192" t="s">
        <v>466</v>
      </c>
      <c r="G1070" s="192" t="s">
        <v>611</v>
      </c>
      <c r="H1070" s="867" t="s">
        <v>595</v>
      </c>
      <c r="I1070" s="743">
        <v>1023</v>
      </c>
      <c r="J1070" s="743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57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1"/>
      <c r="AC1070" s="557" t="str">
        <f>IF(VLOOKUP(F1070,NXT!$C$35:$C$411,1,0)=F1070,"","x")</f>
        <v/>
      </c>
      <c r="AD1070" s="557"/>
    </row>
    <row r="1071" spans="1:33" s="211" customFormat="1" ht="15.75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1178</v>
      </c>
      <c r="E1071" s="191">
        <v>42529</v>
      </c>
      <c r="F1071" s="189" t="s">
        <v>1059</v>
      </c>
      <c r="G1071" s="192" t="s">
        <v>611</v>
      </c>
      <c r="H1071" s="867" t="s">
        <v>595</v>
      </c>
      <c r="I1071" s="743"/>
      <c r="J1071" s="256"/>
      <c r="K1071" s="565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57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1"/>
      <c r="AC1071" s="557" t="str">
        <f>IF(VLOOKUP(H1071,DS_131,1,0)=H1071,"","x")</f>
        <v/>
      </c>
    </row>
    <row r="1072" spans="1:33" s="211" customFormat="1" ht="15.75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1179</v>
      </c>
      <c r="E1072" s="820">
        <v>42530</v>
      </c>
      <c r="F1072" s="821" t="s">
        <v>1083</v>
      </c>
      <c r="G1072" s="821" t="s">
        <v>612</v>
      </c>
      <c r="H1072" s="823" t="s">
        <v>1084</v>
      </c>
      <c r="I1072" s="893">
        <v>1010</v>
      </c>
      <c r="J1072" s="893">
        <v>13800</v>
      </c>
      <c r="K1072" s="38">
        <f>ROUND(I1072*J1072,0)</f>
        <v>13938000</v>
      </c>
      <c r="L1072" s="875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57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1"/>
      <c r="AC1072" s="557" t="str">
        <f>IF(VLOOKUP(F1072,NXT!$C$35:$C$411,1,0)=F1072,"","x")</f>
        <v/>
      </c>
      <c r="AD1072" s="557"/>
    </row>
    <row r="1073" spans="1:30" s="211" customFormat="1" ht="15.75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1179</v>
      </c>
      <c r="E1073" s="820">
        <v>42530</v>
      </c>
      <c r="F1073" s="828" t="s">
        <v>675</v>
      </c>
      <c r="G1073" s="821" t="s">
        <v>612</v>
      </c>
      <c r="H1073" s="823" t="s">
        <v>1084</v>
      </c>
      <c r="I1073" s="893">
        <v>50</v>
      </c>
      <c r="J1073" s="893">
        <v>13400</v>
      </c>
      <c r="K1073" s="38">
        <f>ROUND(I1073*J1073,0)</f>
        <v>670000</v>
      </c>
      <c r="L1073" s="875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57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1"/>
      <c r="AC1073" s="557" t="str">
        <f>IF(VLOOKUP(F1073,NXT!$C$35:$C$411,1,0)=F1073,"","x")</f>
        <v/>
      </c>
    </row>
    <row r="1074" spans="1:30" s="211" customFormat="1" ht="15.75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1179</v>
      </c>
      <c r="E1074" s="820">
        <v>42530</v>
      </c>
      <c r="F1074" s="189" t="s">
        <v>723</v>
      </c>
      <c r="G1074" s="821" t="s">
        <v>612</v>
      </c>
      <c r="H1074" s="823" t="s">
        <v>1084</v>
      </c>
      <c r="I1074" s="893">
        <v>2120</v>
      </c>
      <c r="J1074" s="893">
        <v>1300</v>
      </c>
      <c r="K1074" s="38">
        <f>ROUND(I1074*J1074,0)</f>
        <v>2756000</v>
      </c>
      <c r="L1074" s="875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57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1"/>
      <c r="AC1074" s="557" t="str">
        <f>IF(VLOOKUP(F1074,NXT!$C$35:$C$411,1,0)=F1074,"","x")</f>
        <v/>
      </c>
      <c r="AD1074" s="557"/>
    </row>
    <row r="1075" spans="1:30" s="211" customFormat="1" ht="15.75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1179</v>
      </c>
      <c r="E1075" s="820">
        <v>42530</v>
      </c>
      <c r="F1075" s="821" t="s">
        <v>1059</v>
      </c>
      <c r="G1075" s="821" t="s">
        <v>612</v>
      </c>
      <c r="H1075" s="823" t="s">
        <v>1084</v>
      </c>
      <c r="I1075" s="893"/>
      <c r="J1075" s="893"/>
      <c r="K1075" s="825">
        <v>1736400</v>
      </c>
      <c r="L1075" s="875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57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1"/>
      <c r="AC1075" s="557" t="str">
        <f>IF(VLOOKUP(H1075,DS_131,1,0)=H1075,"","x")</f>
        <v/>
      </c>
      <c r="AD1075" s="557"/>
    </row>
    <row r="1076" spans="1:30" s="211" customFormat="1" ht="15.75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1180</v>
      </c>
      <c r="E1076" s="191">
        <v>42530</v>
      </c>
      <c r="F1076" s="291" t="s">
        <v>1060</v>
      </c>
      <c r="G1076" s="192" t="s">
        <v>613</v>
      </c>
      <c r="H1076" s="7" t="s">
        <v>811</v>
      </c>
      <c r="I1076" s="743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57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1"/>
      <c r="AC1076" s="557" t="str">
        <f>IF(VLOOKUP(F1076,NXT!$C$35:$C$411,1,0)=F1076,"","x")</f>
        <v/>
      </c>
      <c r="AD1076" s="557"/>
    </row>
    <row r="1077" spans="1:30" s="211" customFormat="1" ht="15.75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1180</v>
      </c>
      <c r="E1077" s="191">
        <v>42530</v>
      </c>
      <c r="F1077" s="189" t="s">
        <v>1085</v>
      </c>
      <c r="G1077" s="192" t="s">
        <v>613</v>
      </c>
      <c r="H1077" s="7" t="s">
        <v>811</v>
      </c>
      <c r="I1077" s="743">
        <v>510</v>
      </c>
      <c r="J1077" s="743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57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1"/>
      <c r="AC1077" s="557" t="str">
        <f>IF(VLOOKUP(F1077,NXT!$C$35:$C$411,1,0)=F1077,"","x")</f>
        <v/>
      </c>
      <c r="AD1077" s="557"/>
    </row>
    <row r="1078" spans="1:30" s="211" customFormat="1" ht="15.75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1180</v>
      </c>
      <c r="E1078" s="191">
        <v>42530</v>
      </c>
      <c r="F1078" s="189" t="s">
        <v>1059</v>
      </c>
      <c r="G1078" s="192" t="s">
        <v>613</v>
      </c>
      <c r="H1078" s="7" t="s">
        <v>811</v>
      </c>
      <c r="I1078" s="743"/>
      <c r="J1078" s="743"/>
      <c r="K1078" s="565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57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1"/>
      <c r="AC1078" s="557" t="str">
        <f>IF(VLOOKUP(H1078,DS_131,1,0)=H1078,"","x")</f>
        <v/>
      </c>
      <c r="AD1078" s="557"/>
    </row>
    <row r="1079" spans="1:30" s="211" customFormat="1" ht="15.75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49" t="s">
        <v>808</v>
      </c>
      <c r="I1079" s="256"/>
      <c r="J1079" s="256"/>
      <c r="K1079" s="565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57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2"/>
      <c r="AC1079" s="557" t="str">
        <f>IF(VLOOKUP(H1079,DS_131,1,0)=H1079,"","x")</f>
        <v/>
      </c>
      <c r="AD1079" s="557"/>
    </row>
    <row r="1080" spans="1:30" s="211" customFormat="1" ht="15.75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65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57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2"/>
      <c r="AC1080" s="557"/>
      <c r="AD1080" s="557"/>
    </row>
    <row r="1081" spans="1:30" s="211" customFormat="1" ht="15.75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65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57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2"/>
      <c r="AC1081" s="557" t="str">
        <f>IF(VLOOKUP(H1081,DS_131,1,0)=H1081,"","x")</f>
        <v/>
      </c>
    </row>
    <row r="1082" spans="1:30" s="211" customFormat="1" ht="15.75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65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57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2"/>
      <c r="AC1082" s="557"/>
      <c r="AD1082" s="557"/>
    </row>
    <row r="1083" spans="1:30" s="211" customFormat="1" ht="15.75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1181</v>
      </c>
      <c r="E1083" s="191">
        <v>42535</v>
      </c>
      <c r="F1083" s="192" t="s">
        <v>466</v>
      </c>
      <c r="G1083" s="192" t="s">
        <v>614</v>
      </c>
      <c r="H1083" s="867" t="s">
        <v>595</v>
      </c>
      <c r="I1083" s="743">
        <v>402</v>
      </c>
      <c r="J1083" s="743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57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1"/>
      <c r="AC1083" s="557" t="str">
        <f>IF(VLOOKUP(F1083,NXT!$C$35:$C$411,1,0)=F1083,"","x")</f>
        <v/>
      </c>
      <c r="AD1083" s="557"/>
    </row>
    <row r="1084" spans="1:30" s="211" customFormat="1" ht="15.75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1181</v>
      </c>
      <c r="E1084" s="191">
        <v>42535</v>
      </c>
      <c r="F1084" s="291" t="s">
        <v>542</v>
      </c>
      <c r="G1084" s="192" t="s">
        <v>614</v>
      </c>
      <c r="H1084" s="867" t="s">
        <v>595</v>
      </c>
      <c r="I1084" s="743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57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1"/>
      <c r="AC1084" s="557" t="str">
        <f>IF(VLOOKUP(F1084,NXT!$C$35:$C$411,1,0)=F1084,"","x")</f>
        <v/>
      </c>
      <c r="AD1084" s="557"/>
    </row>
    <row r="1085" spans="1:30" s="211" customFormat="1" ht="15.75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1181</v>
      </c>
      <c r="E1085" s="191">
        <v>42535</v>
      </c>
      <c r="F1085" s="192" t="s">
        <v>1059</v>
      </c>
      <c r="G1085" s="192" t="s">
        <v>614</v>
      </c>
      <c r="H1085" s="867" t="s">
        <v>595</v>
      </c>
      <c r="I1085" s="743"/>
      <c r="J1085" s="743"/>
      <c r="K1085" s="565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57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1"/>
      <c r="AC1085" s="557" t="str">
        <f>IF(VLOOKUP(H1085,DS_131,1,0)=H1085,"","x")</f>
        <v/>
      </c>
    </row>
    <row r="1086" spans="1:30" s="211" customFormat="1" ht="15.75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65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57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2"/>
      <c r="AC1086" s="557" t="str">
        <f>IF(VLOOKUP(H1086,DS_131,1,0)=H1086,"","x")</f>
        <v/>
      </c>
      <c r="AD1086" s="557"/>
    </row>
    <row r="1087" spans="1:30" s="211" customFormat="1" ht="15.75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1182</v>
      </c>
      <c r="E1087" s="191">
        <v>42536</v>
      </c>
      <c r="F1087" s="192" t="s">
        <v>1474</v>
      </c>
      <c r="G1087" s="192" t="s">
        <v>615</v>
      </c>
      <c r="H1087" s="7" t="s">
        <v>429</v>
      </c>
      <c r="I1087" s="743">
        <v>300</v>
      </c>
      <c r="J1087" s="743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57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1"/>
      <c r="AC1087" s="557" t="str">
        <f>IF(VLOOKUP(F1087,NXT!$C$35:$C$411,1,0)=F1087,"","x")</f>
        <v/>
      </c>
      <c r="AD1087" s="557"/>
    </row>
    <row r="1088" spans="1:30" s="211" customFormat="1" ht="15.75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1182</v>
      </c>
      <c r="E1088" s="191">
        <v>42536</v>
      </c>
      <c r="F1088" s="419" t="s">
        <v>1059</v>
      </c>
      <c r="G1088" s="192" t="s">
        <v>615</v>
      </c>
      <c r="H1088" s="7" t="s">
        <v>429</v>
      </c>
      <c r="I1088" s="743"/>
      <c r="J1088" s="743"/>
      <c r="K1088" s="565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57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1"/>
      <c r="AC1088" s="557" t="str">
        <f>IF(VLOOKUP(H1088,DS_131,1,0)=H1088,"","x")</f>
        <v/>
      </c>
      <c r="AD1088" s="557"/>
    </row>
    <row r="1089" spans="1:33" s="211" customFormat="1" ht="15.75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65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57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2"/>
      <c r="AC1089" s="557" t="str">
        <f>IF(VLOOKUP(H1089,DS_131,1,0)=H1089,"","x")</f>
        <v/>
      </c>
      <c r="AD1089" s="557"/>
    </row>
    <row r="1090" spans="1:33" s="211" customFormat="1" ht="15.75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65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57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2"/>
      <c r="AC1090" s="557"/>
      <c r="AD1090" s="557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65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57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2"/>
      <c r="AC1091" s="557"/>
      <c r="AD1091" s="557"/>
    </row>
    <row r="1092" spans="1:33" s="211" customFormat="1" ht="15.75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65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57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2"/>
      <c r="AC1092" s="557" t="str">
        <f>IF(VLOOKUP(H1092,DS_131,1,0)=H1092,"","x")</f>
        <v/>
      </c>
      <c r="AD1092" s="557"/>
    </row>
    <row r="1093" spans="1:33" s="211" customFormat="1" ht="15.75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1183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3">
        <v>237</v>
      </c>
      <c r="J1093" s="743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57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1"/>
      <c r="AC1093" s="557" t="str">
        <f>IF(VLOOKUP(F1093,NXT!$C$35:$C$411,1,0)=F1093,"","x")</f>
        <v/>
      </c>
    </row>
    <row r="1094" spans="1:33" s="211" customFormat="1" ht="15.75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1183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3">
        <v>51</v>
      </c>
      <c r="J1094" s="743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57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1"/>
      <c r="AC1094" s="557" t="str">
        <f>IF(VLOOKUP(F1094,NXT!$C$35:$C$411,1,0)=F1094,"","x")</f>
        <v/>
      </c>
      <c r="AD1094" s="557"/>
    </row>
    <row r="1095" spans="1:33" s="211" customFormat="1" ht="15.75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1183</v>
      </c>
      <c r="E1095" s="191">
        <v>42539</v>
      </c>
      <c r="F1095" s="192" t="s">
        <v>1079</v>
      </c>
      <c r="G1095" s="192" t="s">
        <v>616</v>
      </c>
      <c r="H1095" s="193" t="s">
        <v>639</v>
      </c>
      <c r="I1095" s="743">
        <v>55</v>
      </c>
      <c r="J1095" s="743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57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1"/>
      <c r="AC1095" s="557" t="str">
        <f>IF(VLOOKUP(F1095,NXT!$C$35:$C$411,1,0)=F1095,"","x")</f>
        <v/>
      </c>
      <c r="AD1095" s="557"/>
    </row>
    <row r="1096" spans="1:33" s="211" customFormat="1" ht="15.75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1183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3">
        <v>357</v>
      </c>
      <c r="J1096" s="743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57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1"/>
      <c r="AC1096" s="557" t="str">
        <f>IF(VLOOKUP(F1096,NXT!$C$35:$C$411,1,0)=F1096,"","x")</f>
        <v/>
      </c>
      <c r="AD1096" s="557"/>
    </row>
    <row r="1097" spans="1:33" s="211" customFormat="1" ht="15.75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1183</v>
      </c>
      <c r="E1097" s="191">
        <v>42539</v>
      </c>
      <c r="F1097" s="189" t="s">
        <v>1059</v>
      </c>
      <c r="G1097" s="192" t="s">
        <v>616</v>
      </c>
      <c r="H1097" s="193" t="s">
        <v>639</v>
      </c>
      <c r="I1097" s="743"/>
      <c r="J1097" s="743"/>
      <c r="K1097" s="565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57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1"/>
      <c r="AC1097" s="557" t="str">
        <f>IF(VLOOKUP(H1097,DS_131,1,0)=H1097,"","x")</f>
        <v/>
      </c>
      <c r="AD1097" s="557"/>
    </row>
    <row r="1098" spans="1:33" s="211" customFormat="1" ht="15.75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1184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3">
        <v>764</v>
      </c>
      <c r="J1098" s="743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57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1"/>
      <c r="AC1098" s="557" t="str">
        <f>IF(VLOOKUP(F1098,NXT!$C$35:$C$411,1,0)=F1098,"","x")</f>
        <v/>
      </c>
    </row>
    <row r="1099" spans="1:33" s="211" customFormat="1" ht="15.75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1184</v>
      </c>
      <c r="E1099" s="191">
        <v>42539</v>
      </c>
      <c r="F1099" s="192" t="s">
        <v>1059</v>
      </c>
      <c r="G1099" s="192" t="s">
        <v>617</v>
      </c>
      <c r="H1099" s="193" t="s">
        <v>639</v>
      </c>
      <c r="I1099" s="743"/>
      <c r="J1099" s="743"/>
      <c r="K1099" s="565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57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1"/>
      <c r="AC1099" s="557" t="str">
        <f>IF(VLOOKUP(H1099,DS_131,1,0)=H1099,"","x")</f>
        <v/>
      </c>
      <c r="AD1099" s="557"/>
    </row>
    <row r="1100" spans="1:33" s="211" customFormat="1" ht="15.75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1185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3">
        <v>214</v>
      </c>
      <c r="J1100" s="743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57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1"/>
      <c r="AC1100" s="557" t="str">
        <f>IF(VLOOKUP(F1100,NXT!$C$35:$C$411,1,0)=F1100,"","x")</f>
        <v/>
      </c>
      <c r="AD1100" s="557"/>
    </row>
    <row r="1101" spans="1:33" s="211" customFormat="1" ht="15.75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1185</v>
      </c>
      <c r="E1101" s="191">
        <v>42539</v>
      </c>
      <c r="F1101" s="291" t="s">
        <v>1059</v>
      </c>
      <c r="G1101" s="192" t="s">
        <v>618</v>
      </c>
      <c r="H1101" s="193" t="s">
        <v>447</v>
      </c>
      <c r="I1101" s="743"/>
      <c r="J1101" s="256"/>
      <c r="K1101" s="565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57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1"/>
      <c r="AC1101" s="557" t="str">
        <f>IF(VLOOKUP(H1101,DS_131,1,0)=H1101,"","x")</f>
        <v/>
      </c>
      <c r="AD1101" s="557"/>
    </row>
    <row r="1102" spans="1:33" s="211" customFormat="1" ht="15.75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65">
        <v>99000000</v>
      </c>
      <c r="L1102" s="194" t="s">
        <v>24</v>
      </c>
      <c r="M1102" s="566" t="s">
        <v>47</v>
      </c>
      <c r="N1102" s="52" t="str">
        <f>IF(AND('331-CT'!$E$7=TH!H1102,OR(L1102="331",M1102="331")),"331",IF(AND(OR(L1102="131",M1102="131"),H1102='131-CT'!$E$7),"131",""))</f>
        <v/>
      </c>
      <c r="O1102" s="857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1"/>
      <c r="AC1102" s="557"/>
      <c r="AD1102" s="557"/>
      <c r="AE1102" s="557"/>
      <c r="AF1102" s="557"/>
      <c r="AG1102" s="557"/>
    </row>
    <row r="1103" spans="1:33" s="211" customFormat="1" ht="15.75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65">
        <v>2178494</v>
      </c>
      <c r="L1103" s="566" t="s">
        <v>81</v>
      </c>
      <c r="M1103" s="566" t="s">
        <v>24</v>
      </c>
      <c r="N1103" s="52" t="str">
        <f>IF(AND('331-CT'!$E$7=TH!H1103,OR(L1103="331",M1103="331")),"331",IF(AND(OR(L1103="131",M1103="131"),H1103='131-CT'!$E$7),"131",""))</f>
        <v/>
      </c>
      <c r="O1103" s="857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1"/>
      <c r="AC1103" s="557"/>
      <c r="AD1103" s="557"/>
      <c r="AE1103" s="557"/>
      <c r="AF1103" s="557"/>
      <c r="AG1103" s="557"/>
    </row>
    <row r="1104" spans="1:33" s="211" customFormat="1" ht="15.75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65">
        <v>83385000</v>
      </c>
      <c r="L1104" s="566" t="s">
        <v>786</v>
      </c>
      <c r="M1104" s="566" t="s">
        <v>24</v>
      </c>
      <c r="N1104" s="52" t="str">
        <f>IF(AND('331-CT'!$E$7=TH!H1104,OR(L1104="331",M1104="331")),"331",IF(AND(OR(L1104="131",M1104="131"),H1104='131-CT'!$E$7),"131",""))</f>
        <v/>
      </c>
      <c r="O1104" s="857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1"/>
      <c r="AC1104" s="557"/>
      <c r="AD1104" s="557"/>
      <c r="AE1104" s="557"/>
      <c r="AF1104" s="557"/>
      <c r="AG1104" s="557"/>
    </row>
    <row r="1105" spans="1:33" s="211" customFormat="1" ht="15.75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65">
        <v>12193817</v>
      </c>
      <c r="L1105" s="566" t="s">
        <v>81</v>
      </c>
      <c r="M1105" s="566" t="s">
        <v>24</v>
      </c>
      <c r="N1105" s="52" t="str">
        <f>IF(AND('331-CT'!$E$7=TH!H1105,OR(L1105="331",M1105="331")),"331",IF(AND(OR(L1105="131",M1105="131"),H1105='131-CT'!$E$7),"131",""))</f>
        <v/>
      </c>
      <c r="O1105" s="857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1"/>
      <c r="AC1105" s="557"/>
      <c r="AD1105" s="557"/>
      <c r="AE1105" s="557"/>
      <c r="AF1105" s="557"/>
      <c r="AG1105" s="557"/>
    </row>
    <row r="1106" spans="1:33" s="211" customFormat="1" ht="15.75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65">
        <v>776453</v>
      </c>
      <c r="L1106" s="566" t="s">
        <v>81</v>
      </c>
      <c r="M1106" s="566" t="s">
        <v>24</v>
      </c>
      <c r="N1106" s="52" t="str">
        <f>IF(AND('331-CT'!$E$7=TH!H1106,OR(L1106="331",M1106="331")),"331",IF(AND(OR(L1106="131",M1106="131"),H1106='131-CT'!$E$7),"131",""))</f>
        <v/>
      </c>
      <c r="O1106" s="857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1"/>
      <c r="AC1106" s="557"/>
      <c r="AD1106" s="557"/>
      <c r="AE1106" s="557"/>
      <c r="AF1106" s="557"/>
      <c r="AG1106" s="557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65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57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2"/>
      <c r="AC1107" s="557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65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57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2"/>
      <c r="AC1108" s="557"/>
      <c r="AD1108" s="557"/>
    </row>
    <row r="1109" spans="1:33" s="211" customFormat="1" ht="15.75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65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57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1">
        <v>2</v>
      </c>
      <c r="AC1109" s="557"/>
      <c r="AD1109" s="557"/>
    </row>
    <row r="1110" spans="1:33" s="211" customFormat="1" ht="15.75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65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57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1">
        <v>2</v>
      </c>
      <c r="AC1110" s="557"/>
      <c r="AD1110" s="557"/>
    </row>
    <row r="1111" spans="1:33" s="211" customFormat="1" ht="15.75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65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57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1">
        <v>2</v>
      </c>
      <c r="AC1111" s="557"/>
      <c r="AD1111" s="557"/>
    </row>
    <row r="1112" spans="1:33" s="211" customFormat="1" ht="15.75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65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57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1">
        <v>2</v>
      </c>
      <c r="AC1112" s="557"/>
      <c r="AD1112" s="557"/>
    </row>
    <row r="1113" spans="1:33" s="211" customFormat="1" ht="15.75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65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57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2"/>
      <c r="AC1113" s="557"/>
      <c r="AD1113" s="557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65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57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2"/>
      <c r="AC1114" s="557"/>
    </row>
    <row r="1115" spans="1:33" s="211" customFormat="1" ht="15.75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65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57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1">
        <v>2</v>
      </c>
      <c r="AC1115" s="557"/>
      <c r="AD1115" s="557"/>
    </row>
    <row r="1116" spans="1:33" s="211" customFormat="1" ht="15.75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65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57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1">
        <v>2</v>
      </c>
      <c r="AC1116" s="557"/>
      <c r="AD1116" s="557"/>
    </row>
    <row r="1117" spans="1:33" s="211" customFormat="1" ht="15.75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1186</v>
      </c>
      <c r="E1117" s="191">
        <v>42541</v>
      </c>
      <c r="F1117" s="189" t="s">
        <v>1016</v>
      </c>
      <c r="G1117" s="192" t="s">
        <v>619</v>
      </c>
      <c r="H1117" s="193" t="s">
        <v>639</v>
      </c>
      <c r="I1117" s="743">
        <v>88</v>
      </c>
      <c r="J1117" s="743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57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1"/>
      <c r="AC1117" s="557" t="str">
        <f>IF(VLOOKUP(F1117,NXT!$C$35:$C$411,1,0)=F1117,"","x")</f>
        <v/>
      </c>
    </row>
    <row r="1118" spans="1:33" s="211" customFormat="1" ht="15.75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1186</v>
      </c>
      <c r="E1118" s="191">
        <v>42541</v>
      </c>
      <c r="F1118" s="192" t="s">
        <v>1079</v>
      </c>
      <c r="G1118" s="567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57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1"/>
      <c r="AC1118" s="557" t="str">
        <f>IF(VLOOKUP(F1118,NXT!$C$35:$C$411,1,0)=F1118,"","x")</f>
        <v/>
      </c>
      <c r="AD1118" s="557"/>
    </row>
    <row r="1119" spans="1:33" s="211" customFormat="1" ht="15.75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1186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57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1"/>
      <c r="AC1119" s="557" t="str">
        <f>IF(VLOOKUP(F1119,NXT!$C$35:$C$411,1,0)=F1119,"","x")</f>
        <v/>
      </c>
    </row>
    <row r="1120" spans="1:33" s="211" customFormat="1" ht="15.75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1186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57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1"/>
      <c r="AC1120" s="557" t="str">
        <f>IF(VLOOKUP(F1120,NXT!$C$35:$C$411,1,0)=F1120,"","x")</f>
        <v/>
      </c>
      <c r="AD1120" s="557"/>
    </row>
    <row r="1121" spans="1:33" s="211" customFormat="1" ht="15.75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1186</v>
      </c>
      <c r="E1121" s="191">
        <v>42541</v>
      </c>
      <c r="F1121" s="192" t="s">
        <v>1059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57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1"/>
      <c r="AC1121" s="557" t="str">
        <f>IF(VLOOKUP(H1121,DS_131,1,0)=H1121,"","x")</f>
        <v/>
      </c>
      <c r="AD1121" s="557"/>
    </row>
    <row r="1122" spans="1:33" s="211" customFormat="1" ht="15.75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1187</v>
      </c>
      <c r="E1122" s="191">
        <v>42541</v>
      </c>
      <c r="F1122" s="192" t="s">
        <v>1086</v>
      </c>
      <c r="G1122" s="453" t="s">
        <v>620</v>
      </c>
      <c r="H1122" s="193" t="s">
        <v>1299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57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1"/>
      <c r="AC1122" s="557" t="str">
        <f>IF(VLOOKUP(F1122,NXT!$C$35:$C$411,1,0)=F1122,"","x")</f>
        <v/>
      </c>
    </row>
    <row r="1123" spans="1:33" s="211" customFormat="1" ht="15.75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1187</v>
      </c>
      <c r="E1123" s="191">
        <v>42541</v>
      </c>
      <c r="F1123" s="189" t="s">
        <v>1059</v>
      </c>
      <c r="G1123" s="567" t="s">
        <v>620</v>
      </c>
      <c r="H1123" s="193" t="s">
        <v>1299</v>
      </c>
      <c r="I1123" s="256"/>
      <c r="J1123" s="256"/>
      <c r="K1123" s="565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57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1"/>
      <c r="AC1123" s="557" t="str">
        <f>IF(VLOOKUP(H1123,DS_131,1,0)=H1123,"","x")</f>
        <v/>
      </c>
      <c r="AD1123" s="557"/>
    </row>
    <row r="1124" spans="1:33" s="211" customFormat="1" ht="15.75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1309</v>
      </c>
      <c r="I1124" s="256"/>
      <c r="J1124" s="256"/>
      <c r="K1124" s="565">
        <v>800000</v>
      </c>
      <c r="L1124" s="194" t="s">
        <v>24</v>
      </c>
      <c r="M1124" s="566" t="s">
        <v>47</v>
      </c>
      <c r="N1124" s="52" t="str">
        <f>IF(AND('331-CT'!$E$7=TH!H1124,OR(L1124="331",M1124="331")),"331",IF(AND(OR(L1124="131",M1124="131"),H1124='131-CT'!$E$7),"131",""))</f>
        <v/>
      </c>
      <c r="O1124" s="857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1"/>
      <c r="AC1124" s="557"/>
      <c r="AD1124" s="557"/>
      <c r="AE1124" s="557"/>
      <c r="AF1124" s="557"/>
      <c r="AG1124" s="557"/>
    </row>
    <row r="1125" spans="1:33" s="211" customFormat="1" ht="15.75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65">
        <v>1380534</v>
      </c>
      <c r="L1125" s="566" t="s">
        <v>81</v>
      </c>
      <c r="M1125" s="566" t="s">
        <v>24</v>
      </c>
      <c r="N1125" s="52" t="str">
        <f>IF(AND('331-CT'!$E$7=TH!H1125,OR(L1125="331",M1125="331")),"331",IF(AND(OR(L1125="131",M1125="131"),H1125='131-CT'!$E$7),"131",""))</f>
        <v/>
      </c>
      <c r="O1125" s="857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1"/>
      <c r="AC1125" s="557"/>
      <c r="AD1125" s="557"/>
      <c r="AE1125" s="557"/>
      <c r="AF1125" s="557"/>
      <c r="AG1125" s="557"/>
    </row>
    <row r="1126" spans="1:33" s="211" customFormat="1" ht="15.75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1310</v>
      </c>
      <c r="I1126" s="256"/>
      <c r="J1126" s="256"/>
      <c r="K1126" s="565">
        <v>99149000</v>
      </c>
      <c r="L1126" s="566" t="s">
        <v>24</v>
      </c>
      <c r="M1126" s="566" t="s">
        <v>786</v>
      </c>
      <c r="N1126" s="52" t="str">
        <f>IF(AND('331-CT'!$E$7=TH!H1126,OR(L1126="331",M1126="331")),"331",IF(AND(OR(L1126="131",M1126="131"),H1126='131-CT'!$E$7),"131",""))</f>
        <v/>
      </c>
      <c r="O1126" s="857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1"/>
      <c r="AC1126" s="557"/>
      <c r="AD1126" s="557"/>
      <c r="AE1126" s="557"/>
      <c r="AF1126" s="557"/>
      <c r="AG1126" s="557"/>
    </row>
    <row r="1127" spans="1:33" s="211" customFormat="1" ht="15.75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1299</v>
      </c>
      <c r="I1127" s="256"/>
      <c r="J1127" s="256"/>
      <c r="K1127" s="565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57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2"/>
      <c r="AC1127" s="557" t="str">
        <f>IF(VLOOKUP(H1127,DS_131,1,0)=H1127,"","x")</f>
        <v/>
      </c>
      <c r="AD1127" s="557"/>
    </row>
    <row r="1128" spans="1:33" s="211" customFormat="1" ht="15.75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65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57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2"/>
      <c r="AC1128" s="557"/>
      <c r="AD1128" s="557"/>
    </row>
    <row r="1129" spans="1:33" s="211" customFormat="1" ht="15.75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1188</v>
      </c>
      <c r="E1129" s="191">
        <v>42542</v>
      </c>
      <c r="F1129" s="189" t="s">
        <v>964</v>
      </c>
      <c r="G1129" s="567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57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1"/>
      <c r="AC1129" s="557" t="str">
        <f>IF(VLOOKUP(F1129,NXT!$C$35:$C$411,1,0)=F1129,"","x")</f>
        <v/>
      </c>
    </row>
    <row r="1130" spans="1:33" s="211" customFormat="1" ht="15.75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1188</v>
      </c>
      <c r="E1130" s="184">
        <v>42542</v>
      </c>
      <c r="F1130" s="192" t="s">
        <v>1087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57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1"/>
      <c r="AC1130" s="557" t="str">
        <f>IF(VLOOKUP(F1130,NXT!$C$35:$C$411,1,0)=F1130,"","x")</f>
        <v/>
      </c>
      <c r="AD1130" s="557"/>
    </row>
    <row r="1131" spans="1:33" s="211" customFormat="1" ht="15.75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1188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57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1"/>
      <c r="AC1131" s="557" t="str">
        <f>IF(VLOOKUP(F1131,NXT!$C$35:$C$411,1,0)=F1131,"","x")</f>
        <v/>
      </c>
      <c r="AD1131" s="557"/>
    </row>
    <row r="1132" spans="1:33" s="827" customFormat="1" ht="15.75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1188</v>
      </c>
      <c r="E1132" s="191">
        <v>42542</v>
      </c>
      <c r="F1132" s="192" t="s">
        <v>1059</v>
      </c>
      <c r="G1132" s="192" t="s">
        <v>621</v>
      </c>
      <c r="H1132" s="193" t="s">
        <v>639</v>
      </c>
      <c r="I1132" s="256"/>
      <c r="J1132" s="256"/>
      <c r="K1132" s="565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57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1"/>
      <c r="AC1132" s="557" t="str">
        <f>IF(VLOOKUP(H1132,DS_131,1,0)=H1132,"","x")</f>
        <v/>
      </c>
      <c r="AD1132" s="557"/>
      <c r="AE1132" s="211"/>
      <c r="AF1132" s="211"/>
      <c r="AG1132" s="211"/>
    </row>
    <row r="1133" spans="1:33" s="827" customFormat="1" ht="15.75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1189</v>
      </c>
      <c r="E1133" s="191">
        <v>42543</v>
      </c>
      <c r="F1133" s="192" t="s">
        <v>466</v>
      </c>
      <c r="G1133" s="192" t="s">
        <v>622</v>
      </c>
      <c r="H1133" s="867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57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1"/>
      <c r="AC1133" s="557" t="str">
        <f>IF(VLOOKUP(F1133,NXT!$C$35:$C$411,1,0)=F1133,"","x")</f>
        <v/>
      </c>
      <c r="AD1133" s="211"/>
      <c r="AE1133" s="211"/>
      <c r="AF1133" s="211"/>
      <c r="AG1133" s="211"/>
    </row>
    <row r="1134" spans="1:33" s="211" customFormat="1" ht="15.75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1189</v>
      </c>
      <c r="E1134" s="191">
        <v>42543</v>
      </c>
      <c r="F1134" s="192" t="s">
        <v>466</v>
      </c>
      <c r="G1134" s="456" t="s">
        <v>622</v>
      </c>
      <c r="H1134" s="867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57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1"/>
      <c r="AC1134" s="557" t="str">
        <f>IF(VLOOKUP(F1134,NXT!$C$35:$C$411,1,0)=F1134,"","x")</f>
        <v/>
      </c>
      <c r="AD1134" s="557"/>
    </row>
    <row r="1135" spans="1:33" s="211" customFormat="1" ht="15.75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1189</v>
      </c>
      <c r="E1135" s="191">
        <v>42543</v>
      </c>
      <c r="F1135" s="291" t="s">
        <v>1059</v>
      </c>
      <c r="G1135" s="456" t="s">
        <v>622</v>
      </c>
      <c r="H1135" s="867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57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1"/>
      <c r="AC1135" s="557" t="str">
        <f>IF(VLOOKUP(H1135,DS_131,1,0)=H1135,"","x")</f>
        <v/>
      </c>
      <c r="AD1135" s="557"/>
    </row>
    <row r="1136" spans="1:33" s="211" customFormat="1" ht="15.75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1190</v>
      </c>
      <c r="E1136" s="726">
        <v>42543</v>
      </c>
      <c r="F1136" s="291" t="s">
        <v>1088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57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1"/>
      <c r="AC1136" s="557" t="str">
        <f>IF(VLOOKUP(F1136,NXT!$C$35:$C$411,1,0)=F1136,"","x")</f>
        <v/>
      </c>
    </row>
    <row r="1137" spans="1:33" s="211" customFormat="1" ht="15.75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1190</v>
      </c>
      <c r="E1137" s="726">
        <v>42543</v>
      </c>
      <c r="F1137" s="192" t="s">
        <v>1079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57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1"/>
      <c r="AC1137" s="557" t="str">
        <f>IF(VLOOKUP(F1137,NXT!$C$35:$C$411,1,0)=F1137,"","x")</f>
        <v/>
      </c>
      <c r="AD1137" s="557"/>
    </row>
    <row r="1138" spans="1:33" s="211" customFormat="1" ht="15.75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1190</v>
      </c>
      <c r="E1138" s="726">
        <v>42543</v>
      </c>
      <c r="F1138" s="189" t="s">
        <v>1059</v>
      </c>
      <c r="G1138" s="192" t="s">
        <v>623</v>
      </c>
      <c r="H1138" s="193" t="s">
        <v>639</v>
      </c>
      <c r="I1138" s="256"/>
      <c r="J1138" s="256"/>
      <c r="K1138" s="565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57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1"/>
      <c r="AC1138" s="557" t="str">
        <f>IF(VLOOKUP(H1138,DS_131,1,0)=H1138,"","x")</f>
        <v/>
      </c>
    </row>
    <row r="1139" spans="1:33" s="211" customFormat="1" ht="15.75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65">
        <v>99000000</v>
      </c>
      <c r="L1139" s="566" t="s">
        <v>47</v>
      </c>
      <c r="M1139" s="566" t="s">
        <v>24</v>
      </c>
      <c r="N1139" s="52" t="str">
        <f>IF(AND('331-CT'!$E$7=TH!H1139,OR(L1139="331",M1139="331")),"331",IF(AND(OR(L1139="131",M1139="131"),H1139='131-CT'!$E$7),"131",""))</f>
        <v/>
      </c>
      <c r="O1139" s="857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1"/>
      <c r="AC1139" s="557"/>
      <c r="AD1139" s="557"/>
      <c r="AE1139" s="557"/>
      <c r="AF1139" s="557"/>
      <c r="AG1139" s="557"/>
    </row>
    <row r="1140" spans="1:33" s="211" customFormat="1" ht="15.75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65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57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2"/>
      <c r="AC1140" s="557"/>
      <c r="AD1140" s="557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65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57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2"/>
      <c r="AC1141" s="557"/>
      <c r="AD1141" s="557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65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57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2"/>
      <c r="AC1142" s="557"/>
      <c r="AD1142" s="557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65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57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2"/>
      <c r="AC1143" s="557"/>
      <c r="AD1143" s="557"/>
    </row>
    <row r="1144" spans="1:33" s="211" customFormat="1" ht="15.75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65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57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1">
        <v>2</v>
      </c>
      <c r="AC1144" s="557"/>
    </row>
    <row r="1145" spans="1:33" s="211" customFormat="1" ht="15.75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65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57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1">
        <v>2</v>
      </c>
      <c r="AC1145" s="557"/>
      <c r="AD1145" s="557"/>
    </row>
    <row r="1146" spans="1:33" s="211" customFormat="1" ht="15.75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65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57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1">
        <v>2</v>
      </c>
      <c r="AC1146" s="557"/>
      <c r="AD1146" s="557"/>
    </row>
    <row r="1147" spans="1:33" s="211" customFormat="1" ht="15.75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2" t="s">
        <v>793</v>
      </c>
      <c r="G1147" s="192" t="s">
        <v>332</v>
      </c>
      <c r="H1147" s="7"/>
      <c r="I1147" s="256"/>
      <c r="J1147" s="256"/>
      <c r="K1147" s="565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57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1">
        <v>2</v>
      </c>
      <c r="AC1147" s="557"/>
    </row>
    <row r="1148" spans="1:33" s="211" customFormat="1" ht="15.75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1191</v>
      </c>
      <c r="E1148" s="726">
        <v>42544</v>
      </c>
      <c r="F1148" s="192" t="s">
        <v>1089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57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1"/>
      <c r="AC1148" s="557" t="str">
        <f>IF(VLOOKUP(F1148,NXT!$C$35:$C$411,1,0)=F1148,"","x")</f>
        <v/>
      </c>
      <c r="AD1148" s="557"/>
    </row>
    <row r="1149" spans="1:33" s="211" customFormat="1" ht="15.75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1191</v>
      </c>
      <c r="E1149" s="726">
        <v>42544</v>
      </c>
      <c r="F1149" s="189" t="s">
        <v>1059</v>
      </c>
      <c r="G1149" s="192" t="s">
        <v>625</v>
      </c>
      <c r="H1149" s="7" t="s">
        <v>828</v>
      </c>
      <c r="I1149" s="256"/>
      <c r="J1149" s="256"/>
      <c r="K1149" s="565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57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1"/>
      <c r="AC1149" s="557" t="str">
        <f>IF(VLOOKUP(H1149,DS_131,1,0)=H1149,"","x")</f>
        <v/>
      </c>
      <c r="AD1149" s="557"/>
    </row>
    <row r="1150" spans="1:33" s="211" customFormat="1" ht="15.75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65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57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2"/>
      <c r="AC1150" s="557" t="str">
        <f>IF(VLOOKUP(H1150,DS_131,1,0)=H1150,"","x")</f>
        <v/>
      </c>
      <c r="AD1150" s="557"/>
    </row>
    <row r="1151" spans="1:33" s="211" customFormat="1" ht="15.75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49" t="s">
        <v>808</v>
      </c>
      <c r="I1151" s="256"/>
      <c r="J1151" s="256"/>
      <c r="K1151" s="565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57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2"/>
      <c r="AC1151" s="557" t="str">
        <f>IF(VLOOKUP(H1151,DS_131,1,0)=H1151,"","x")</f>
        <v/>
      </c>
      <c r="AD1151" s="557"/>
    </row>
    <row r="1152" spans="1:33" s="211" customFormat="1" ht="15.75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1192</v>
      </c>
      <c r="E1152" s="726">
        <v>42545</v>
      </c>
      <c r="F1152" s="192" t="s">
        <v>466</v>
      </c>
      <c r="G1152" s="192" t="s">
        <v>626</v>
      </c>
      <c r="H1152" s="867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57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1"/>
      <c r="AC1152" s="557" t="str">
        <f>IF(VLOOKUP(F1152,NXT!$C$35:$C$411,1,0)=F1152,"","x")</f>
        <v/>
      </c>
      <c r="AD1152" s="557"/>
    </row>
    <row r="1153" spans="1:30" s="211" customFormat="1" ht="15.75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1192</v>
      </c>
      <c r="E1153" s="726">
        <v>42545</v>
      </c>
      <c r="F1153" s="752" t="s">
        <v>466</v>
      </c>
      <c r="G1153" s="192" t="s">
        <v>626</v>
      </c>
      <c r="H1153" s="867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57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1"/>
      <c r="AC1153" s="557" t="str">
        <f>IF(VLOOKUP(F1153,NXT!$C$35:$C$411,1,0)=F1153,"","x")</f>
        <v/>
      </c>
    </row>
    <row r="1154" spans="1:30" s="211" customFormat="1" ht="15.75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1192</v>
      </c>
      <c r="E1154" s="726">
        <v>42545</v>
      </c>
      <c r="F1154" s="189" t="s">
        <v>1059</v>
      </c>
      <c r="G1154" s="192" t="s">
        <v>626</v>
      </c>
      <c r="H1154" s="867" t="s">
        <v>595</v>
      </c>
      <c r="I1154" s="256"/>
      <c r="J1154" s="256"/>
      <c r="K1154" s="565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57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1"/>
      <c r="AC1154" s="557" t="str">
        <f>IF(VLOOKUP(H1154,DS_131,1,0)=H1154,"","x")</f>
        <v/>
      </c>
      <c r="AD1154" s="557"/>
    </row>
    <row r="1155" spans="1:30" s="211" customFormat="1" ht="15.75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1193</v>
      </c>
      <c r="E1155" s="726">
        <v>42545</v>
      </c>
      <c r="F1155" s="40" t="s">
        <v>710</v>
      </c>
      <c r="G1155" s="192" t="s">
        <v>628</v>
      </c>
      <c r="H1155" s="749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57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1"/>
      <c r="AC1155" s="557"/>
    </row>
    <row r="1156" spans="1:30" s="211" customFormat="1" ht="15.75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1193</v>
      </c>
      <c r="E1156" s="184">
        <v>42545</v>
      </c>
      <c r="F1156" s="189" t="s">
        <v>1090</v>
      </c>
      <c r="G1156" s="567" t="s">
        <v>628</v>
      </c>
      <c r="H1156" s="749" t="s">
        <v>808</v>
      </c>
      <c r="I1156" s="256"/>
      <c r="J1156" s="256"/>
      <c r="K1156" s="565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57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1"/>
      <c r="AC1156" s="557" t="str">
        <f>IF(VLOOKUP(H1156,DS_131,1,0)=H1156,"","x")</f>
        <v/>
      </c>
      <c r="AD1156" s="557"/>
    </row>
    <row r="1157" spans="1:30" s="211" customFormat="1" ht="15.75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1194</v>
      </c>
      <c r="E1157" s="184">
        <v>42545</v>
      </c>
      <c r="F1157" s="189" t="s">
        <v>459</v>
      </c>
      <c r="G1157" s="567" t="s">
        <v>629</v>
      </c>
      <c r="H1157" s="193" t="s">
        <v>1091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57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1"/>
      <c r="AC1157" s="557" t="str">
        <f>IF(VLOOKUP(F1157,NXT!$C$35:$C$411,1,0)=F1157,"","x")</f>
        <v/>
      </c>
    </row>
    <row r="1158" spans="1:30" s="211" customFormat="1" ht="15.75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1194</v>
      </c>
      <c r="E1158" s="184">
        <v>42545</v>
      </c>
      <c r="F1158" s="189" t="s">
        <v>1059</v>
      </c>
      <c r="G1158" s="567" t="s">
        <v>629</v>
      </c>
      <c r="H1158" s="193" t="s">
        <v>1091</v>
      </c>
      <c r="I1158" s="256"/>
      <c r="J1158" s="256"/>
      <c r="K1158" s="565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57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1"/>
      <c r="AC1158" s="557" t="str">
        <f>IF(VLOOKUP(H1158,DS_131,1,0)=H1158,"","x")</f>
        <v/>
      </c>
      <c r="AD1158" s="557"/>
    </row>
    <row r="1159" spans="1:30" s="211" customFormat="1" ht="15.75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1195</v>
      </c>
      <c r="E1159" s="184">
        <v>42545</v>
      </c>
      <c r="F1159" s="192" t="s">
        <v>1468</v>
      </c>
      <c r="G1159" s="567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57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1"/>
      <c r="AC1159" s="557" t="str">
        <f>IF(VLOOKUP(F1159,NXT!$C$35:$C$411,1,0)=F1159,"","x")</f>
        <v/>
      </c>
    </row>
    <row r="1160" spans="1:30" s="211" customFormat="1" ht="15.75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1195</v>
      </c>
      <c r="E1160" s="184">
        <v>42545</v>
      </c>
      <c r="F1160" s="189" t="s">
        <v>1059</v>
      </c>
      <c r="G1160" s="567" t="s">
        <v>630</v>
      </c>
      <c r="H1160" s="7" t="s">
        <v>673</v>
      </c>
      <c r="I1160" s="256"/>
      <c r="J1160" s="256"/>
      <c r="K1160" s="565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57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1"/>
      <c r="AC1160" s="557" t="str">
        <f>IF(VLOOKUP(H1160,DS_131,1,0)=H1160,"","x")</f>
        <v/>
      </c>
      <c r="AD1160" s="557"/>
    </row>
    <row r="1161" spans="1:30" s="211" customFormat="1" ht="15.75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65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57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2"/>
      <c r="AC1161" s="557"/>
    </row>
    <row r="1162" spans="1:30" s="211" customFormat="1" ht="15.75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65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57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2"/>
      <c r="AC1162" s="557"/>
      <c r="AD1162" s="557"/>
    </row>
    <row r="1163" spans="1:30" s="211" customFormat="1" ht="15.75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1196</v>
      </c>
      <c r="E1163" s="819">
        <v>42548</v>
      </c>
      <c r="F1163" s="192" t="s">
        <v>466</v>
      </c>
      <c r="G1163" s="889" t="s">
        <v>631</v>
      </c>
      <c r="H1163" s="867" t="s">
        <v>595</v>
      </c>
      <c r="I1163" s="824">
        <v>509</v>
      </c>
      <c r="J1163" s="824">
        <v>5900</v>
      </c>
      <c r="K1163" s="38">
        <f>ROUND(I1163*J1163,0)</f>
        <v>3003100</v>
      </c>
      <c r="L1163" s="875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57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1"/>
      <c r="AC1163" s="557" t="str">
        <f>IF(VLOOKUP(F1163,NXT!$C$35:$C$411,1,0)=F1163,"","x")</f>
        <v/>
      </c>
    </row>
    <row r="1164" spans="1:30" s="211" customFormat="1" ht="15.75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1196</v>
      </c>
      <c r="E1164" s="819">
        <v>42548</v>
      </c>
      <c r="F1164" s="192" t="s">
        <v>466</v>
      </c>
      <c r="G1164" s="889" t="s">
        <v>631</v>
      </c>
      <c r="H1164" s="867" t="s">
        <v>595</v>
      </c>
      <c r="I1164" s="824">
        <v>1104</v>
      </c>
      <c r="J1164" s="824">
        <v>5900</v>
      </c>
      <c r="K1164" s="38">
        <f>ROUND(I1164*J1164,0)</f>
        <v>6513600</v>
      </c>
      <c r="L1164" s="875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57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1"/>
      <c r="AC1164" s="557" t="str">
        <f>IF(VLOOKUP(F1164,NXT!$C$35:$C$411,1,0)=F1164,"","x")</f>
        <v/>
      </c>
      <c r="AD1164" s="557"/>
    </row>
    <row r="1165" spans="1:30" s="211" customFormat="1" ht="15.75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1196</v>
      </c>
      <c r="E1165" s="890">
        <v>42548</v>
      </c>
      <c r="F1165" s="828" t="s">
        <v>1059</v>
      </c>
      <c r="G1165" s="821" t="s">
        <v>631</v>
      </c>
      <c r="H1165" s="867" t="s">
        <v>595</v>
      </c>
      <c r="I1165" s="824"/>
      <c r="J1165" s="824"/>
      <c r="K1165" s="825">
        <v>951670</v>
      </c>
      <c r="L1165" s="875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57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1"/>
      <c r="AC1165" s="557" t="str">
        <f>IF(VLOOKUP(H1165,DS_131,1,0)=H1165,"","x")</f>
        <v/>
      </c>
      <c r="AD1165" s="557"/>
    </row>
    <row r="1166" spans="1:30" s="211" customFormat="1" ht="15.75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1197</v>
      </c>
      <c r="E1166" s="726">
        <v>42548</v>
      </c>
      <c r="F1166" s="192" t="s">
        <v>1474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57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1"/>
      <c r="AC1166" s="557" t="str">
        <f>IF(VLOOKUP(F1166,NXT!$C$35:$C$411,1,0)=F1166,"","x")</f>
        <v/>
      </c>
      <c r="AD1166" s="557"/>
    </row>
    <row r="1167" spans="1:30" s="211" customFormat="1" ht="15.75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1197</v>
      </c>
      <c r="E1167" s="726">
        <v>42548</v>
      </c>
      <c r="F1167" s="189" t="s">
        <v>1059</v>
      </c>
      <c r="G1167" s="192" t="s">
        <v>632</v>
      </c>
      <c r="H1167" s="7" t="s">
        <v>429</v>
      </c>
      <c r="I1167" s="256"/>
      <c r="J1167" s="256"/>
      <c r="K1167" s="565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57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1"/>
      <c r="AC1167" s="557" t="str">
        <f>IF(VLOOKUP(H1167,DS_131,1,0)=H1167,"","x")</f>
        <v/>
      </c>
    </row>
    <row r="1168" spans="1:30" s="211" customFormat="1" ht="15.75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1198</v>
      </c>
      <c r="E1168" s="726">
        <v>42549</v>
      </c>
      <c r="F1168" s="189" t="s">
        <v>419</v>
      </c>
      <c r="G1168" s="192" t="s">
        <v>1092</v>
      </c>
      <c r="H1168" s="7" t="s">
        <v>1074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57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1"/>
      <c r="AC1168" s="557" t="str">
        <f>IF(VLOOKUP(F1168,NXT!$C$35:$C$411,1,0)=F1168,"","x")</f>
        <v/>
      </c>
      <c r="AD1168" s="557"/>
    </row>
    <row r="1169" spans="1:30" s="211" customFormat="1" ht="15.75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1198</v>
      </c>
      <c r="E1169" s="726">
        <v>42549</v>
      </c>
      <c r="F1169" s="189" t="s">
        <v>422</v>
      </c>
      <c r="G1169" s="192" t="s">
        <v>1092</v>
      </c>
      <c r="H1169" s="7" t="s">
        <v>1074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57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1"/>
      <c r="AC1169" s="557" t="str">
        <f>IF(VLOOKUP(F1169,NXT!$C$35:$C$411,1,0)=F1169,"","x")</f>
        <v/>
      </c>
      <c r="AD1169" s="557"/>
    </row>
    <row r="1170" spans="1:30" s="211" customFormat="1" ht="15.75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1198</v>
      </c>
      <c r="E1170" s="726">
        <v>42549</v>
      </c>
      <c r="F1170" s="189" t="s">
        <v>656</v>
      </c>
      <c r="G1170" s="192" t="s">
        <v>1092</v>
      </c>
      <c r="H1170" s="7" t="s">
        <v>1074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57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1"/>
      <c r="AC1170" s="557" t="str">
        <f>IF(VLOOKUP(F1170,NXT!$C$35:$C$411,1,0)=F1170,"","x")</f>
        <v/>
      </c>
    </row>
    <row r="1171" spans="1:30" s="211" customFormat="1" ht="15.75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1198</v>
      </c>
      <c r="E1171" s="726">
        <v>42549</v>
      </c>
      <c r="F1171" s="291" t="s">
        <v>1059</v>
      </c>
      <c r="G1171" s="192" t="s">
        <v>1092</v>
      </c>
      <c r="H1171" s="7" t="s">
        <v>1074</v>
      </c>
      <c r="I1171" s="256"/>
      <c r="J1171" s="256"/>
      <c r="K1171" s="565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57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1"/>
      <c r="AC1171" s="557" t="str">
        <f>IF(VLOOKUP(H1171,DS_131,1,0)=H1171,"","x")</f>
        <v/>
      </c>
      <c r="AD1171" s="557"/>
    </row>
    <row r="1172" spans="1:30" s="211" customFormat="1" ht="15.75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1199</v>
      </c>
      <c r="E1172" s="726">
        <v>42550</v>
      </c>
      <c r="F1172" s="192" t="s">
        <v>1093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57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1"/>
      <c r="AC1172" s="557" t="str">
        <f>IF(VLOOKUP(F1172,NXT!$C$35:$C$411,1,0)=F1172,"","x")</f>
        <v/>
      </c>
      <c r="AD1172" s="557"/>
    </row>
    <row r="1173" spans="1:30" s="211" customFormat="1" ht="15.75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1199</v>
      </c>
      <c r="E1173" s="191">
        <v>42550</v>
      </c>
      <c r="F1173" s="192" t="s">
        <v>1060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57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1"/>
      <c r="AC1173" s="557" t="str">
        <f>IF(VLOOKUP(F1173,NXT!$C$35:$C$411,1,0)=F1173,"","x")</f>
        <v/>
      </c>
    </row>
    <row r="1174" spans="1:30" s="211" customFormat="1" ht="15.75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1199</v>
      </c>
      <c r="E1174" s="191">
        <v>42550</v>
      </c>
      <c r="F1174" s="192" t="s">
        <v>1094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57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1"/>
      <c r="AC1174" s="557" t="str">
        <f>IF(VLOOKUP(F1174,NXT!$C$35:$C$411,1,0)=F1174,"","x")</f>
        <v/>
      </c>
      <c r="AD1174" s="557"/>
    </row>
    <row r="1175" spans="1:30" s="211" customFormat="1" ht="15.75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1199</v>
      </c>
      <c r="E1175" s="184">
        <v>42550</v>
      </c>
      <c r="F1175" s="189" t="s">
        <v>1059</v>
      </c>
      <c r="G1175" s="567" t="s">
        <v>633</v>
      </c>
      <c r="H1175" s="7" t="s">
        <v>811</v>
      </c>
      <c r="I1175" s="256"/>
      <c r="J1175" s="256"/>
      <c r="K1175" s="565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57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1"/>
      <c r="AC1175" s="557" t="str">
        <f>IF(VLOOKUP(H1175,DS_131,1,0)=H1175,"","x")</f>
        <v/>
      </c>
    </row>
    <row r="1176" spans="1:30" s="211" customFormat="1" ht="15.75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1200</v>
      </c>
      <c r="E1176" s="184">
        <v>42550</v>
      </c>
      <c r="F1176" s="189" t="s">
        <v>675</v>
      </c>
      <c r="G1176" s="567" t="s">
        <v>1095</v>
      </c>
      <c r="H1176" s="7" t="s">
        <v>1084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57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1"/>
      <c r="AC1176" s="557" t="str">
        <f>IF(VLOOKUP(F1176,NXT!$C$35:$C$411,1,0)=F1176,"","x")</f>
        <v/>
      </c>
      <c r="AD1176" s="557"/>
    </row>
    <row r="1177" spans="1:30" s="211" customFormat="1" ht="15.75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1200</v>
      </c>
      <c r="E1177" s="191">
        <v>42550</v>
      </c>
      <c r="F1177" s="192" t="s">
        <v>675</v>
      </c>
      <c r="G1177" s="456" t="s">
        <v>1095</v>
      </c>
      <c r="H1177" s="193" t="s">
        <v>1084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57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1"/>
      <c r="AC1177" s="557" t="str">
        <f>IF(VLOOKUP(F1177,NXT!$C$35:$C$411,1,0)=F1177,"","x")</f>
        <v/>
      </c>
      <c r="AD1177" s="557"/>
    </row>
    <row r="1178" spans="1:30" s="211" customFormat="1" ht="15.75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1200</v>
      </c>
      <c r="E1178" s="191">
        <v>42550</v>
      </c>
      <c r="F1178" s="189" t="s">
        <v>723</v>
      </c>
      <c r="G1178" s="456" t="s">
        <v>1095</v>
      </c>
      <c r="H1178" s="193" t="s">
        <v>1084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57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1"/>
      <c r="AC1178" s="557" t="str">
        <f>IF(VLOOKUP(F1178,NXT!$C$35:$C$411,1,0)=F1178,"","x")</f>
        <v/>
      </c>
      <c r="AD1178" s="557"/>
    </row>
    <row r="1179" spans="1:30" s="211" customFormat="1" ht="15.75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1200</v>
      </c>
      <c r="E1179" s="191">
        <v>42550</v>
      </c>
      <c r="F1179" s="192" t="s">
        <v>1059</v>
      </c>
      <c r="G1179" s="456" t="s">
        <v>1095</v>
      </c>
      <c r="H1179" s="193" t="s">
        <v>1084</v>
      </c>
      <c r="I1179" s="256"/>
      <c r="J1179" s="256"/>
      <c r="K1179" s="565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57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1"/>
      <c r="AC1179" s="557" t="str">
        <f>IF(VLOOKUP(H1179,DS_131,1,0)=H1179,"","x")</f>
        <v/>
      </c>
    </row>
    <row r="1180" spans="1:30" s="211" customFormat="1" ht="15.75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1201</v>
      </c>
      <c r="E1180" s="191">
        <v>42550</v>
      </c>
      <c r="F1180" s="192" t="s">
        <v>1275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57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1"/>
      <c r="AC1180" s="557" t="str">
        <f>IF(VLOOKUP(F1180,NXT!$C$35:$C$411,1,0)=F1180,"","x")</f>
        <v/>
      </c>
      <c r="AD1180" s="557"/>
    </row>
    <row r="1181" spans="1:30" s="211" customFormat="1" ht="15.75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1201</v>
      </c>
      <c r="E1181" s="191">
        <v>42550</v>
      </c>
      <c r="F1181" s="192" t="s">
        <v>1057</v>
      </c>
      <c r="G1181" s="456" t="s">
        <v>634</v>
      </c>
      <c r="H1181" s="193" t="s">
        <v>587</v>
      </c>
      <c r="I1181" s="259"/>
      <c r="J1181" s="259"/>
      <c r="K1181" s="565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57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1"/>
      <c r="AC1181" s="557" t="str">
        <f>IF(VLOOKUP(H1181,DS_131,1,0)=H1181,"","x")</f>
        <v/>
      </c>
    </row>
    <row r="1182" spans="1:30" s="211" customFormat="1" ht="15.75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1202</v>
      </c>
      <c r="E1182" s="191">
        <v>42550</v>
      </c>
      <c r="F1182" s="192" t="s">
        <v>1096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57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1"/>
      <c r="AC1182" s="557" t="str">
        <f>IF(VLOOKUP(F1182,NXT!$C$35:$C$411,1,0)=F1182,"","x")</f>
        <v/>
      </c>
      <c r="AD1182" s="557"/>
    </row>
    <row r="1183" spans="1:30" s="211" customFormat="1" ht="15.75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1202</v>
      </c>
      <c r="E1183" s="191">
        <v>42550</v>
      </c>
      <c r="F1183" s="192" t="s">
        <v>1097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57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1"/>
      <c r="AC1183" s="557" t="str">
        <f>IF(VLOOKUP(F1183,NXT!$C$35:$C$411,1,0)=F1183,"","x")</f>
        <v/>
      </c>
      <c r="AD1183" s="557"/>
    </row>
    <row r="1184" spans="1:30" s="211" customFormat="1" ht="15.75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1202</v>
      </c>
      <c r="E1184" s="191">
        <v>42550</v>
      </c>
      <c r="F1184" s="192" t="s">
        <v>1098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57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1"/>
      <c r="AC1184" s="557" t="str">
        <f>IF(VLOOKUP(F1184,NXT!$C$35:$C$411,1,0)=F1184,"","x")</f>
        <v/>
      </c>
      <c r="AD1184" s="557"/>
    </row>
    <row r="1185" spans="1:33" s="211" customFormat="1" ht="15.75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1202</v>
      </c>
      <c r="E1185" s="191">
        <v>42550</v>
      </c>
      <c r="F1185" s="192" t="s">
        <v>990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57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1"/>
      <c r="AC1185" s="557" t="str">
        <f>IF(VLOOKUP(F1185,NXT!$C$35:$C$411,1,0)=F1185,"","x")</f>
        <v/>
      </c>
    </row>
    <row r="1186" spans="1:33" s="211" customFormat="1" ht="15.75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1202</v>
      </c>
      <c r="E1186" s="726">
        <v>42550</v>
      </c>
      <c r="F1186" s="192" t="s">
        <v>1018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57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1"/>
      <c r="AC1186" s="557" t="str">
        <f>IF(VLOOKUP(F1186,NXT!$C$35:$C$411,1,0)=F1186,"","x")</f>
        <v/>
      </c>
      <c r="AD1186" s="557"/>
    </row>
    <row r="1187" spans="1:33" s="211" customFormat="1" ht="15.75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1202</v>
      </c>
      <c r="E1187" s="726">
        <v>42550</v>
      </c>
      <c r="F1187" s="192" t="s">
        <v>1059</v>
      </c>
      <c r="G1187" s="192" t="s">
        <v>635</v>
      </c>
      <c r="H1187" s="193" t="s">
        <v>639</v>
      </c>
      <c r="I1187" s="256"/>
      <c r="J1187" s="256"/>
      <c r="K1187" s="565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57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1"/>
      <c r="AC1187" s="557" t="str">
        <f>IF(VLOOKUP(H1187,DS_131,1,0)=H1187,"","x")</f>
        <v/>
      </c>
      <c r="AD1187" s="557"/>
    </row>
    <row r="1188" spans="1:33" s="211" customFormat="1" ht="15.75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1203</v>
      </c>
      <c r="E1188" s="726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57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1"/>
      <c r="AC1188" s="557" t="str">
        <f>IF(VLOOKUP(F1188,NXT!$C$35:$C$411,1,0)=F1188,"","x")</f>
        <v/>
      </c>
    </row>
    <row r="1189" spans="1:33" s="211" customFormat="1" ht="15.75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1203</v>
      </c>
      <c r="E1189" s="726">
        <v>42550</v>
      </c>
      <c r="F1189" s="192" t="s">
        <v>1059</v>
      </c>
      <c r="G1189" s="192" t="s">
        <v>636</v>
      </c>
      <c r="H1189" s="7" t="s">
        <v>429</v>
      </c>
      <c r="I1189" s="256"/>
      <c r="J1189" s="256"/>
      <c r="K1189" s="565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57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1"/>
      <c r="AC1189" s="557" t="str">
        <f>IF(VLOOKUP(H1189,DS_131,1,0)=H1189,"","x")</f>
        <v/>
      </c>
      <c r="AD1189" s="557"/>
    </row>
    <row r="1190" spans="1:33" s="211" customFormat="1" ht="15.75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1204</v>
      </c>
      <c r="E1190" s="726">
        <v>42550</v>
      </c>
      <c r="F1190" s="291" t="s">
        <v>1470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57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1"/>
      <c r="AC1190" s="557" t="str">
        <f>IF(VLOOKUP(F1190,NXT!$C$35:$C$411,1,0)=F1190,"","x")</f>
        <v/>
      </c>
    </row>
    <row r="1191" spans="1:33" s="211" customFormat="1" ht="15.75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1204</v>
      </c>
      <c r="E1191" s="726">
        <v>42550</v>
      </c>
      <c r="F1191" s="192" t="s">
        <v>1059</v>
      </c>
      <c r="G1191" s="192" t="s">
        <v>638</v>
      </c>
      <c r="H1191" s="7" t="s">
        <v>673</v>
      </c>
      <c r="I1191" s="256"/>
      <c r="J1191" s="256"/>
      <c r="K1191" s="565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57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1"/>
      <c r="AC1191" s="557" t="str">
        <f>IF(VLOOKUP(H1191,DS_131,1,0)=H1191,"","x")</f>
        <v/>
      </c>
      <c r="AD1191" s="557"/>
    </row>
    <row r="1192" spans="1:33" s="211" customFormat="1" ht="15.75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1205</v>
      </c>
      <c r="E1192" s="726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57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1"/>
      <c r="AC1192" s="557" t="str">
        <f>IF(VLOOKUP(F1192,NXT!$C$35:$C$411,1,0)=F1192,"","x")</f>
        <v/>
      </c>
    </row>
    <row r="1193" spans="1:33" s="211" customFormat="1" ht="15.75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1205</v>
      </c>
      <c r="E1193" s="726">
        <v>42550</v>
      </c>
      <c r="F1193" s="189" t="s">
        <v>1059</v>
      </c>
      <c r="G1193" s="192" t="s">
        <v>641</v>
      </c>
      <c r="H1193" s="7" t="s">
        <v>678</v>
      </c>
      <c r="I1193" s="256"/>
      <c r="J1193" s="256"/>
      <c r="K1193" s="565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57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1"/>
      <c r="AC1193" s="557" t="str">
        <f>IF(VLOOKUP(H1193,DS_131,1,0)=H1193,"","x")</f>
        <v/>
      </c>
      <c r="AD1193" s="557"/>
    </row>
    <row r="1194" spans="1:33" s="211" customFormat="1" ht="15.75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1206</v>
      </c>
      <c r="E1194" s="726">
        <v>42550</v>
      </c>
      <c r="F1194" s="189" t="s">
        <v>1099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57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1"/>
      <c r="AC1194" s="557" t="str">
        <f>IF(VLOOKUP(F1194,NXT!$C$35:$C$411,1,0)=F1194,"","x")</f>
        <v/>
      </c>
      <c r="AD1194" s="557"/>
    </row>
    <row r="1195" spans="1:33" s="211" customFormat="1" ht="15.75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1206</v>
      </c>
      <c r="E1195" s="726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57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1"/>
      <c r="AC1195" s="557" t="str">
        <f>IF(VLOOKUP(F1195,NXT!$C$35:$C$411,1,0)=F1195,"","x")</f>
        <v/>
      </c>
      <c r="AD1195" s="557"/>
    </row>
    <row r="1196" spans="1:33" s="211" customFormat="1" ht="15.75" customHeight="1">
      <c r="A1196" s="204" t="str">
        <f>IF(B1196&lt;&gt;"",IF(AND(B1196&gt;=_TM1,B1196&lt;=_TM2,OR(TH!L1545="1111",TH!M1545="1111")),TH!D1545,""),"")</f>
        <v/>
      </c>
      <c r="B1196" s="818">
        <f t="shared" si="56"/>
        <v>6</v>
      </c>
      <c r="C1196" s="819">
        <f t="shared" si="57"/>
        <v>42550</v>
      </c>
      <c r="D1196" s="191" t="s">
        <v>1206</v>
      </c>
      <c r="E1196" s="191">
        <v>42550</v>
      </c>
      <c r="F1196" s="192" t="s">
        <v>1100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57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1"/>
      <c r="AC1196" s="557" t="str">
        <f>IF(VLOOKUP(F1196,NXT!$C$35:$C$411,1,0)=F1196,"","x")</f>
        <v/>
      </c>
      <c r="AD1196" s="827"/>
      <c r="AE1196" s="827">
        <v>115419</v>
      </c>
      <c r="AF1196" s="827"/>
      <c r="AG1196" s="827"/>
    </row>
    <row r="1197" spans="1:33" s="211" customFormat="1" ht="15.75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1206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57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1"/>
      <c r="AC1197" s="557" t="str">
        <f>IF(VLOOKUP(F1197,NXT!$C$35:$C$411,1,0)=F1197,"","x")</f>
        <v/>
      </c>
      <c r="AD1197" s="557"/>
    </row>
    <row r="1198" spans="1:33" s="211" customFormat="1" ht="15.75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1206</v>
      </c>
      <c r="E1198" s="191">
        <v>42550</v>
      </c>
      <c r="F1198" s="192" t="s">
        <v>1059</v>
      </c>
      <c r="G1198" s="192" t="s">
        <v>643</v>
      </c>
      <c r="H1198" s="7" t="s">
        <v>557</v>
      </c>
      <c r="I1198" s="256"/>
      <c r="J1198" s="256"/>
      <c r="K1198" s="565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57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1"/>
      <c r="AC1198" s="557" t="str">
        <f>IF(VLOOKUP(H1198,DS_131,1,0)=H1198,"","x")</f>
        <v/>
      </c>
      <c r="AD1198" s="557"/>
    </row>
    <row r="1199" spans="1:33" s="211" customFormat="1" ht="15.75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1207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57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1"/>
      <c r="AC1199" s="557" t="str">
        <f>IF(VLOOKUP(F1199,NXT!$C$35:$C$411,1,0)=F1199,"","x")</f>
        <v/>
      </c>
      <c r="AD1199" s="557"/>
    </row>
    <row r="1200" spans="1:33" s="211" customFormat="1" ht="15.75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1207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57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1"/>
      <c r="AC1200" s="557" t="str">
        <f>IF(VLOOKUP(F1200,NXT!$C$35:$C$411,1,0)=F1200,"","x")</f>
        <v/>
      </c>
      <c r="AD1200" s="557"/>
    </row>
    <row r="1201" spans="1:33" s="211" customFormat="1" ht="15.75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1207</v>
      </c>
      <c r="E1201" s="191">
        <v>42551</v>
      </c>
      <c r="F1201" s="192" t="s">
        <v>1059</v>
      </c>
      <c r="G1201" s="192" t="s">
        <v>644</v>
      </c>
      <c r="H1201" s="7" t="s">
        <v>814</v>
      </c>
      <c r="I1201" s="256"/>
      <c r="J1201" s="256"/>
      <c r="K1201" s="565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57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1"/>
      <c r="AC1201" s="557" t="str">
        <f>IF(VLOOKUP(H1201,DS_131,1,0)=H1201,"","x")</f>
        <v/>
      </c>
      <c r="AD1201" s="557"/>
    </row>
    <row r="1202" spans="1:33" s="211" customFormat="1" ht="15.75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876</v>
      </c>
      <c r="G1202" s="456" t="s">
        <v>661</v>
      </c>
      <c r="H1202" s="7" t="s">
        <v>823</v>
      </c>
      <c r="I1202" s="256"/>
      <c r="J1202" s="256"/>
      <c r="K1202" s="565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57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1">
        <v>2</v>
      </c>
      <c r="AC1202" s="557"/>
      <c r="AD1202" s="211" t="str">
        <f t="shared" ref="AD1202:AD1211" si="58">IF(VLOOKUP(H1202,DSKH,1,0)=H1202,"","x")</f>
        <v/>
      </c>
      <c r="AF1202" s="557"/>
      <c r="AG1202" s="557"/>
    </row>
    <row r="1203" spans="1:33" s="211" customFormat="1" ht="15.75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877</v>
      </c>
      <c r="G1203" s="456" t="s">
        <v>661</v>
      </c>
      <c r="H1203" s="7" t="s">
        <v>823</v>
      </c>
      <c r="I1203" s="256"/>
      <c r="J1203" s="256"/>
      <c r="K1203" s="565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57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1">
        <v>2</v>
      </c>
      <c r="AC1203" s="557"/>
      <c r="AD1203" s="211" t="str">
        <f t="shared" si="58"/>
        <v/>
      </c>
      <c r="AF1203" s="557"/>
      <c r="AG1203" s="557"/>
    </row>
    <row r="1204" spans="1:33" s="211" customFormat="1" ht="15.75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878</v>
      </c>
      <c r="G1204" s="456" t="s">
        <v>662</v>
      </c>
      <c r="H1204" s="7" t="s">
        <v>823</v>
      </c>
      <c r="I1204" s="256"/>
      <c r="J1204" s="256"/>
      <c r="K1204" s="565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57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1">
        <v>2</v>
      </c>
      <c r="AC1204" s="557"/>
      <c r="AD1204" s="211" t="str">
        <f t="shared" si="58"/>
        <v/>
      </c>
      <c r="AF1204" s="557"/>
      <c r="AG1204" s="557"/>
    </row>
    <row r="1205" spans="1:33" s="211" customFormat="1" ht="15.75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877</v>
      </c>
      <c r="G1205" s="456" t="s">
        <v>662</v>
      </c>
      <c r="H1205" s="7" t="s">
        <v>823</v>
      </c>
      <c r="I1205" s="256"/>
      <c r="J1205" s="256"/>
      <c r="K1205" s="565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57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1">
        <v>2</v>
      </c>
      <c r="AC1205" s="557"/>
      <c r="AD1205" s="211" t="str">
        <f t="shared" si="58"/>
        <v/>
      </c>
      <c r="AF1205" s="557"/>
      <c r="AG1205" s="557"/>
    </row>
    <row r="1206" spans="1:33" s="211" customFormat="1" ht="15.75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881</v>
      </c>
      <c r="G1206" s="456" t="s">
        <v>663</v>
      </c>
      <c r="H1206" s="7" t="s">
        <v>823</v>
      </c>
      <c r="I1206" s="256"/>
      <c r="J1206" s="256"/>
      <c r="K1206" s="565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57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1">
        <v>2</v>
      </c>
      <c r="AC1206" s="557"/>
      <c r="AD1206" s="211" t="str">
        <f t="shared" si="58"/>
        <v/>
      </c>
      <c r="AF1206" s="557"/>
      <c r="AG1206" s="557"/>
    </row>
    <row r="1207" spans="1:33" s="211" customFormat="1" ht="15.75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882</v>
      </c>
      <c r="G1207" s="456" t="s">
        <v>663</v>
      </c>
      <c r="H1207" s="7" t="s">
        <v>823</v>
      </c>
      <c r="I1207" s="256"/>
      <c r="J1207" s="256"/>
      <c r="K1207" s="565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57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1">
        <v>2</v>
      </c>
      <c r="AC1207" s="557"/>
      <c r="AD1207" s="211" t="str">
        <f t="shared" si="58"/>
        <v/>
      </c>
      <c r="AF1207" s="557"/>
      <c r="AG1207" s="557"/>
    </row>
    <row r="1208" spans="1:33" s="211" customFormat="1" ht="15.75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892</v>
      </c>
      <c r="G1208" s="456" t="s">
        <v>664</v>
      </c>
      <c r="H1208" s="7" t="s">
        <v>823</v>
      </c>
      <c r="I1208" s="256"/>
      <c r="J1208" s="256"/>
      <c r="K1208" s="565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57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1">
        <v>2</v>
      </c>
      <c r="AC1208" s="557"/>
      <c r="AD1208" s="211" t="str">
        <f t="shared" si="58"/>
        <v/>
      </c>
      <c r="AF1208" s="557"/>
      <c r="AG1208" s="557"/>
    </row>
    <row r="1209" spans="1:33" s="211" customFormat="1" ht="15.75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877</v>
      </c>
      <c r="G1209" s="456" t="s">
        <v>664</v>
      </c>
      <c r="H1209" s="7" t="s">
        <v>823</v>
      </c>
      <c r="I1209" s="256"/>
      <c r="J1209" s="256"/>
      <c r="K1209" s="565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57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1">
        <v>2</v>
      </c>
      <c r="AC1209" s="557"/>
      <c r="AD1209" s="211" t="str">
        <f t="shared" si="58"/>
        <v/>
      </c>
      <c r="AF1209" s="557"/>
      <c r="AG1209" s="557"/>
    </row>
    <row r="1210" spans="1:33" s="211" customFormat="1" ht="15.75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893</v>
      </c>
      <c r="G1210" s="456" t="s">
        <v>665</v>
      </c>
      <c r="H1210" s="7" t="s">
        <v>823</v>
      </c>
      <c r="I1210" s="256"/>
      <c r="J1210" s="256"/>
      <c r="K1210" s="565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57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1">
        <v>2</v>
      </c>
      <c r="AC1210" s="557"/>
      <c r="AD1210" s="211" t="str">
        <f t="shared" si="58"/>
        <v/>
      </c>
      <c r="AF1210" s="557"/>
      <c r="AG1210" s="557"/>
    </row>
    <row r="1211" spans="1:33" s="211" customFormat="1" ht="15.75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882</v>
      </c>
      <c r="G1211" s="456" t="s">
        <v>665</v>
      </c>
      <c r="H1211" s="7" t="s">
        <v>823</v>
      </c>
      <c r="I1211" s="256"/>
      <c r="J1211" s="256"/>
      <c r="K1211" s="565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57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1">
        <v>2</v>
      </c>
      <c r="AC1211" s="557"/>
      <c r="AD1211" s="211" t="str">
        <f t="shared" si="58"/>
        <v/>
      </c>
      <c r="AF1211" s="557"/>
      <c r="AG1211" s="557"/>
    </row>
    <row r="1212" spans="1:33" s="211" customFormat="1" ht="15.75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1305</v>
      </c>
      <c r="G1212" s="456"/>
      <c r="H1212" s="7"/>
      <c r="I1212" s="256"/>
      <c r="J1212" s="256"/>
      <c r="K1212" s="565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57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1">
        <v>3</v>
      </c>
      <c r="AC1212" s="557"/>
      <c r="AD1212" s="557"/>
    </row>
    <row r="1213" spans="1:33" s="211" customFormat="1" ht="15.75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1306</v>
      </c>
      <c r="G1213" s="456"/>
      <c r="H1213" s="7"/>
      <c r="I1213" s="256"/>
      <c r="J1213" s="256"/>
      <c r="K1213" s="565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57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1">
        <v>3</v>
      </c>
      <c r="AC1213" s="557"/>
    </row>
    <row r="1214" spans="1:33" s="211" customFormat="1" ht="15.75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65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57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2"/>
      <c r="AC1214" s="557" t="str">
        <f>IF(VLOOKUP(H1214,DS_131,1,0)=H1214,"","x")</f>
        <v/>
      </c>
    </row>
    <row r="1215" spans="1:33" s="211" customFormat="1" ht="15.75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65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57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2"/>
      <c r="AC1215" s="557" t="str">
        <f>IF(VLOOKUP(H1215,DS_131,1,0)=H1215,"","x")</f>
        <v/>
      </c>
      <c r="AD1215" s="557"/>
    </row>
    <row r="1216" spans="1:33" s="211" customFormat="1" ht="15.75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65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57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2"/>
      <c r="AC1216" s="557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65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57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2"/>
      <c r="AC1217" s="557"/>
    </row>
    <row r="1218" spans="1:30" s="211" customFormat="1" ht="15.75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65">
        <v>13637</v>
      </c>
      <c r="L1218" s="566" t="s">
        <v>83</v>
      </c>
      <c r="M1218" s="566" t="s">
        <v>24</v>
      </c>
      <c r="N1218" s="52" t="str">
        <f>IF(AND('331-CT'!$E$7=TH!H1218,OR(L1218="331",M1218="331")),"331",IF(AND(OR(L1218="131",M1218="131"),H1218='131-CT'!$E$7),"131",""))</f>
        <v/>
      </c>
      <c r="O1218" s="857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1">
        <v>3</v>
      </c>
      <c r="AC1218" s="557"/>
      <c r="AD1218" s="557"/>
    </row>
    <row r="1219" spans="1:30" s="211" customFormat="1" ht="15.75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65">
        <v>1363</v>
      </c>
      <c r="L1219" s="566" t="s">
        <v>9</v>
      </c>
      <c r="M1219" s="566" t="s">
        <v>24</v>
      </c>
      <c r="N1219" s="52" t="str">
        <f>IF(AND('331-CT'!$E$7=TH!H1219,OR(L1219="331",M1219="331")),"331",IF(AND(OR(L1219="131",M1219="131"),H1219='131-CT'!$E$7),"131",""))</f>
        <v/>
      </c>
      <c r="O1219" s="857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1">
        <v>3</v>
      </c>
      <c r="AC1219" s="557"/>
    </row>
    <row r="1220" spans="1:30" s="211" customFormat="1" ht="15.75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65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57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2"/>
      <c r="AC1220" s="557"/>
      <c r="AD1220" s="557"/>
    </row>
    <row r="1221" spans="1:30" s="211" customFormat="1" ht="15.75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65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57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2"/>
      <c r="AC1221" s="557" t="str">
        <f>IF(VLOOKUP(H1221,DS_131,1,0)=H1221,"","x")</f>
        <v/>
      </c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65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57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1"/>
      <c r="AC1222" s="557"/>
      <c r="AD1222" s="557"/>
    </row>
    <row r="1223" spans="1:30" s="211" customFormat="1" ht="15.75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65">
        <v>13637</v>
      </c>
      <c r="L1223" s="566" t="s">
        <v>83</v>
      </c>
      <c r="M1223" s="566" t="s">
        <v>24</v>
      </c>
      <c r="N1223" s="52" t="str">
        <f>IF(AND('331-CT'!$E$7=TH!H1223,OR(L1223="331",M1223="331")),"331",IF(AND(OR(L1223="131",M1223="131"),H1223='131-CT'!$E$7),"131",""))</f>
        <v/>
      </c>
      <c r="O1223" s="857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1">
        <v>3</v>
      </c>
      <c r="AC1223" s="557"/>
    </row>
    <row r="1224" spans="1:30" s="211" customFormat="1" ht="15.75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65">
        <v>1363</v>
      </c>
      <c r="L1224" s="566" t="s">
        <v>9</v>
      </c>
      <c r="M1224" s="566" t="s">
        <v>24</v>
      </c>
      <c r="N1224" s="52" t="str">
        <f>IF(AND('331-CT'!$E$7=TH!H1224,OR(L1224="331",M1224="331")),"331",IF(AND(OR(L1224="131",M1224="131"),H1224='131-CT'!$E$7),"131",""))</f>
        <v/>
      </c>
      <c r="O1224" s="857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1">
        <v>3</v>
      </c>
      <c r="AC1224" s="557"/>
      <c r="AD1224" s="557"/>
    </row>
    <row r="1225" spans="1:30" s="211" customFormat="1" ht="15.75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65">
        <v>13637</v>
      </c>
      <c r="L1225" s="566" t="s">
        <v>83</v>
      </c>
      <c r="M1225" s="566" t="s">
        <v>24</v>
      </c>
      <c r="N1225" s="52" t="str">
        <f>IF(AND('331-CT'!$E$7=TH!H1225,OR(L1225="331",M1225="331")),"331",IF(AND(OR(L1225="131",M1225="131"),H1225='131-CT'!$E$7),"131",""))</f>
        <v/>
      </c>
      <c r="O1225" s="857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1">
        <v>3</v>
      </c>
      <c r="AC1225" s="557"/>
    </row>
    <row r="1226" spans="1:30" s="211" customFormat="1" ht="15.75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65">
        <v>1363</v>
      </c>
      <c r="L1226" s="566" t="s">
        <v>9</v>
      </c>
      <c r="M1226" s="566" t="s">
        <v>24</v>
      </c>
      <c r="N1226" s="52" t="str">
        <f>IF(AND('331-CT'!$E$7=TH!H1226,OR(L1226="331",M1226="331")),"331",IF(AND(OR(L1226="131",M1226="131"),H1226='131-CT'!$E$7),"131",""))</f>
        <v/>
      </c>
      <c r="O1226" s="857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1">
        <v>3</v>
      </c>
      <c r="AC1226" s="557"/>
      <c r="AD1226" s="557"/>
    </row>
    <row r="1227" spans="1:30" s="211" customFormat="1" ht="15.75" customHeight="1">
      <c r="A1227" s="204" t="str">
        <f>IF(B1227&lt;&gt;"",IF(AND(B1227&gt;=_TM1,B1227&lt;=_TM2,OR(TH!L1621="1111",TH!M1621="1111")),TH!D1621,""),"")</f>
        <v/>
      </c>
      <c r="B1227" s="36">
        <f t="shared" si="60"/>
        <v>7</v>
      </c>
      <c r="C1227" s="184">
        <f t="shared" si="59"/>
        <v>42556</v>
      </c>
      <c r="D1227" s="184" t="s">
        <v>1107</v>
      </c>
      <c r="E1227" s="37">
        <v>42556</v>
      </c>
      <c r="F1227" s="192" t="s">
        <v>1474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57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1"/>
      <c r="AC1227" s="557" t="str">
        <f>IF(VLOOKUP(F1227,NXT!$C$35:$C$411,1,0)=F1227,"","x")</f>
        <v/>
      </c>
      <c r="AD1227" s="557"/>
    </row>
    <row r="1228" spans="1:30" s="211" customFormat="1" ht="15.75" customHeight="1">
      <c r="A1228" s="204" t="str">
        <f>IF(B1228&lt;&gt;"",IF(AND(B1228&gt;=_TM1,B1228&lt;=_TM2,OR(TH!L1622="1111",TH!M1622="1111")),TH!D1622,""),"")</f>
        <v/>
      </c>
      <c r="B1228" s="36">
        <f t="shared" si="60"/>
        <v>7</v>
      </c>
      <c r="C1228" s="184">
        <f t="shared" si="59"/>
        <v>42556</v>
      </c>
      <c r="D1228" s="184" t="s">
        <v>1107</v>
      </c>
      <c r="E1228" s="37">
        <v>42556</v>
      </c>
      <c r="F1228" s="40" t="s">
        <v>1285</v>
      </c>
      <c r="G1228" s="455" t="s">
        <v>646</v>
      </c>
      <c r="H1228" s="7" t="s">
        <v>429</v>
      </c>
      <c r="I1228" s="256"/>
      <c r="J1228" s="256"/>
      <c r="K1228" s="565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57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1"/>
      <c r="AC1228" s="557" t="str">
        <f>IF(VLOOKUP(H1228,DS_131,1,0)=H1228,"","x")</f>
        <v/>
      </c>
      <c r="AD1228" s="557"/>
    </row>
    <row r="1229" spans="1:30" s="211" customFormat="1" ht="15.75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65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57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2"/>
      <c r="AC1229" s="557" t="str">
        <f>IF(VLOOKUP(H1229,DS_131,1,0)=H1229,"","x")</f>
        <v/>
      </c>
      <c r="AD1229" s="557"/>
    </row>
    <row r="1230" spans="1:30" s="211" customFormat="1" ht="15.75" customHeight="1">
      <c r="A1230" s="204" t="str">
        <f>IF(B1230&lt;&gt;"",IF(AND(B1230&gt;=_TM1,B1230&lt;=_TM2,OR(TH!L1623="1111",TH!M1623="1111")),TH!D1623,""),"")</f>
        <v/>
      </c>
      <c r="B1230" s="36">
        <f t="shared" si="60"/>
        <v>7</v>
      </c>
      <c r="C1230" s="184">
        <f t="shared" si="59"/>
        <v>42557</v>
      </c>
      <c r="D1230" s="184" t="s">
        <v>1108</v>
      </c>
      <c r="E1230" s="37">
        <v>42557</v>
      </c>
      <c r="F1230" s="40" t="s">
        <v>1286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57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1"/>
      <c r="AC1230" s="557" t="str">
        <f>IF(VLOOKUP(F1230,NXT!$C$35:$C$411,1,0)=F1230,"","x")</f>
        <v/>
      </c>
      <c r="AD1230" s="557"/>
    </row>
    <row r="1231" spans="1:30" s="211" customFormat="1" ht="15.75" customHeight="1">
      <c r="A1231" s="204" t="str">
        <f>IF(B1231&lt;&gt;"",IF(AND(B1231&gt;=_TM1,B1231&lt;=_TM2,OR(TH!L1624="1111",TH!M1624="1111")),TH!D1624,""),"")</f>
        <v/>
      </c>
      <c r="B1231" s="36">
        <f t="shared" si="60"/>
        <v>7</v>
      </c>
      <c r="C1231" s="184">
        <f t="shared" si="59"/>
        <v>42557</v>
      </c>
      <c r="D1231" s="184" t="s">
        <v>1108</v>
      </c>
      <c r="E1231" s="37">
        <v>42557</v>
      </c>
      <c r="F1231" s="40" t="s">
        <v>1287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57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1"/>
      <c r="AC1231" s="557" t="str">
        <f>IF(VLOOKUP(F1231,NXT!$C$35:$C$411,1,0)=F1231,"","x")</f>
        <v/>
      </c>
      <c r="AD1231" s="557"/>
    </row>
    <row r="1232" spans="1:30" s="211" customFormat="1" ht="15.75" customHeight="1">
      <c r="A1232" s="204" t="str">
        <f>IF(B1232&lt;&gt;"",IF(AND(B1232&gt;=_TM1,B1232&lt;=_TM2,OR(TH!L1625="1111",TH!M1625="1111")),TH!D1625,""),"")</f>
        <v/>
      </c>
      <c r="B1232" s="36">
        <f t="shared" si="60"/>
        <v>7</v>
      </c>
      <c r="C1232" s="184">
        <f t="shared" si="59"/>
        <v>42557</v>
      </c>
      <c r="D1232" s="184" t="s">
        <v>1108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57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1"/>
      <c r="AC1232" s="557" t="str">
        <f>IF(VLOOKUP(F1232,NXT!$C$35:$C$411,1,0)=F1232,"","x")</f>
        <v/>
      </c>
      <c r="AD1232" s="557"/>
    </row>
    <row r="1233" spans="1:30" s="211" customFormat="1" ht="15.75" customHeight="1">
      <c r="A1233" s="204" t="str">
        <f>IF(B1233&lt;&gt;"",IF(AND(B1233&gt;=_TM1,B1233&lt;=_TM2,OR(TH!L1626="1111",TH!M1626="1111")),TH!D1626,""),"")</f>
        <v/>
      </c>
      <c r="B1233" s="36">
        <f t="shared" si="60"/>
        <v>7</v>
      </c>
      <c r="C1233" s="184">
        <f t="shared" si="59"/>
        <v>42557</v>
      </c>
      <c r="D1233" s="184" t="s">
        <v>1108</v>
      </c>
      <c r="E1233" s="37">
        <v>42557</v>
      </c>
      <c r="F1233" s="40" t="s">
        <v>1285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57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1"/>
      <c r="AC1233" s="557" t="str">
        <f>IF(VLOOKUP(H1233,DS_131,1,0)=H1233,"","x")</f>
        <v/>
      </c>
    </row>
    <row r="1234" spans="1:30" s="211" customFormat="1" ht="15.75" customHeight="1">
      <c r="A1234" s="204" t="str">
        <f>IF(B1234&lt;&gt;"",IF(AND(B1234&gt;=_TM1,B1234&lt;=_TM2,OR(TH!L1627="1111",TH!M1627="1111")),TH!D1627,""),"")</f>
        <v/>
      </c>
      <c r="B1234" s="36">
        <f t="shared" si="60"/>
        <v>7</v>
      </c>
      <c r="C1234" s="184">
        <f t="shared" si="59"/>
        <v>42557</v>
      </c>
      <c r="D1234" s="184" t="s">
        <v>1109</v>
      </c>
      <c r="E1234" s="37">
        <v>42557</v>
      </c>
      <c r="F1234" s="40" t="s">
        <v>1288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57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1"/>
      <c r="AC1234" s="557" t="str">
        <f>IF(VLOOKUP(F1234,NXT!$C$35:$C$411,1,0)=F1234,"","x")</f>
        <v/>
      </c>
      <c r="AD1234" s="557"/>
    </row>
    <row r="1235" spans="1:30" s="211" customFormat="1" ht="15.75" customHeight="1">
      <c r="A1235" s="204" t="str">
        <f>IF(B1235&lt;&gt;"",IF(AND(B1235&gt;=_TM1,B1235&lt;=_TM2,OR(TH!L1628="1111",TH!M1628="1111")),TH!D1628,""),"")</f>
        <v/>
      </c>
      <c r="B1235" s="36">
        <f t="shared" si="60"/>
        <v>7</v>
      </c>
      <c r="C1235" s="184">
        <f t="shared" si="59"/>
        <v>42557</v>
      </c>
      <c r="D1235" s="184" t="s">
        <v>1109</v>
      </c>
      <c r="E1235" s="37">
        <v>42557</v>
      </c>
      <c r="F1235" s="40" t="s">
        <v>1285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57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1"/>
      <c r="AC1235" s="557" t="str">
        <f>IF(VLOOKUP(H1235,DS_131,1,0)=H1235,"","x")</f>
        <v/>
      </c>
      <c r="AD1235" s="557"/>
    </row>
    <row r="1236" spans="1:30" s="211" customFormat="1" ht="15.75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65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57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2"/>
      <c r="AC1236" s="557" t="str">
        <f>IF(VLOOKUP(H1236,DS_131,1,0)=H1236,"","x")</f>
        <v/>
      </c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65">
        <v>34625550</v>
      </c>
      <c r="L1237" s="194" t="s">
        <v>8</v>
      </c>
      <c r="M1237" s="566" t="s">
        <v>24</v>
      </c>
      <c r="N1237" s="52" t="str">
        <f>IF(AND('331-CT'!$E$7=TH!H1237,OR(L1237="331",M1237="331")),"331",IF(AND(OR(L1237="131",M1237="131"),H1237='131-CT'!$E$7),"131",""))</f>
        <v/>
      </c>
      <c r="O1237" s="857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2"/>
      <c r="AC1237" s="557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65">
        <v>23200000</v>
      </c>
      <c r="L1238" s="194" t="s">
        <v>8</v>
      </c>
      <c r="M1238" s="566" t="s">
        <v>24</v>
      </c>
      <c r="N1238" s="52" t="str">
        <f>IF(AND('331-CT'!$E$7=TH!H1238,OR(L1238="331",M1238="331")),"331",IF(AND(OR(L1238="131",M1238="131"),H1238='131-CT'!$E$7),"131",""))</f>
        <v/>
      </c>
      <c r="O1238" s="857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2"/>
      <c r="AC1238" s="557"/>
      <c r="AD1238" s="557"/>
    </row>
    <row r="1239" spans="1:30" s="211" customFormat="1" ht="15.75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65">
        <v>13637</v>
      </c>
      <c r="L1239" s="566" t="s">
        <v>83</v>
      </c>
      <c r="M1239" s="566" t="s">
        <v>24</v>
      </c>
      <c r="N1239" s="52" t="str">
        <f>IF(AND('331-CT'!$E$7=TH!H1239,OR(L1239="331",M1239="331")),"331",IF(AND(OR(L1239="131",M1239="131"),H1239='131-CT'!$E$7),"131",""))</f>
        <v/>
      </c>
      <c r="O1239" s="857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1">
        <v>3</v>
      </c>
      <c r="AC1239" s="557"/>
    </row>
    <row r="1240" spans="1:30" s="211" customFormat="1" ht="15.75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65">
        <v>1363</v>
      </c>
      <c r="L1240" s="566" t="s">
        <v>9</v>
      </c>
      <c r="M1240" s="566" t="s">
        <v>24</v>
      </c>
      <c r="N1240" s="52" t="str">
        <f>IF(AND('331-CT'!$E$7=TH!H1240,OR(L1240="331",M1240="331")),"331",IF(AND(OR(L1240="131",M1240="131"),H1240='131-CT'!$E$7),"131",""))</f>
        <v/>
      </c>
      <c r="O1240" s="857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1">
        <v>3</v>
      </c>
      <c r="AC1240" s="557"/>
      <c r="AD1240" s="557"/>
    </row>
    <row r="1241" spans="1:30" s="211" customFormat="1" ht="15.75" customHeight="1">
      <c r="A1241" s="204" t="str">
        <f>IF(B1241&lt;&gt;"",IF(AND(B1241&gt;=_TM1,B1241&lt;=_TM2,OR(TH!L1629="1111",TH!M1629="1111")),TH!D1629,""),"")</f>
        <v/>
      </c>
      <c r="B1241" s="36">
        <f t="shared" si="60"/>
        <v>7</v>
      </c>
      <c r="C1241" s="184">
        <f t="shared" si="59"/>
        <v>42558</v>
      </c>
      <c r="D1241" s="184" t="s">
        <v>1110</v>
      </c>
      <c r="E1241" s="37">
        <v>42558</v>
      </c>
      <c r="F1241" s="40" t="s">
        <v>1289</v>
      </c>
      <c r="G1241" s="455" t="s">
        <v>649</v>
      </c>
      <c r="H1241" s="867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57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1"/>
      <c r="AC1241" s="557" t="str">
        <f>IF(VLOOKUP(F1241,NXT!$C$35:$C$411,1,0)=F1241,"","x")</f>
        <v/>
      </c>
      <c r="AD1241" s="557"/>
    </row>
    <row r="1242" spans="1:30" s="211" customFormat="1" ht="15.75" customHeight="1">
      <c r="A1242" s="204" t="str">
        <f>IF(B1242&lt;&gt;"",IF(AND(B1242&gt;=_TM1,B1242&lt;=_TM2,OR(TH!L1630="1111",TH!M1630="1111")),TH!D1630,""),"")</f>
        <v/>
      </c>
      <c r="B1242" s="36">
        <f t="shared" si="60"/>
        <v>7</v>
      </c>
      <c r="C1242" s="184">
        <f t="shared" si="59"/>
        <v>42558</v>
      </c>
      <c r="D1242" s="184" t="s">
        <v>1110</v>
      </c>
      <c r="E1242" s="37">
        <v>42558</v>
      </c>
      <c r="F1242" s="40" t="s">
        <v>1289</v>
      </c>
      <c r="G1242" s="455" t="s">
        <v>649</v>
      </c>
      <c r="H1242" s="867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57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1"/>
      <c r="AC1242" s="557" t="str">
        <f>IF(VLOOKUP(F1242,NXT!$C$35:$C$411,1,0)=F1242,"","x")</f>
        <v/>
      </c>
    </row>
    <row r="1243" spans="1:30" s="211" customFormat="1" ht="15.75" customHeight="1">
      <c r="A1243" s="204" t="str">
        <f>IF(B1243&lt;&gt;"",IF(AND(B1243&gt;=_TM1,B1243&lt;=_TM2,OR(TH!L1631="1111",TH!M1631="1111")),TH!D1631,""),"")</f>
        <v/>
      </c>
      <c r="B1243" s="36">
        <f t="shared" si="60"/>
        <v>7</v>
      </c>
      <c r="C1243" s="184">
        <f t="shared" si="59"/>
        <v>42558</v>
      </c>
      <c r="D1243" s="184" t="s">
        <v>1110</v>
      </c>
      <c r="E1243" s="37">
        <v>42558</v>
      </c>
      <c r="F1243" s="40" t="s">
        <v>1285</v>
      </c>
      <c r="G1243" s="455" t="s">
        <v>649</v>
      </c>
      <c r="H1243" s="867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57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1"/>
      <c r="AC1243" s="557" t="str">
        <f>IF(VLOOKUP(H1243,DS_131,1,0)=H1243,"","x")</f>
        <v/>
      </c>
      <c r="AD1243" s="557"/>
    </row>
    <row r="1244" spans="1:30" s="211" customFormat="1" ht="15.75" customHeight="1">
      <c r="A1244" s="204" t="str">
        <f>IF(B1244&lt;&gt;"",IF(AND(B1244&gt;=_TM1,B1244&lt;=_TM2,OR(TH!L1632="1111",TH!M1632="1111")),TH!D1632,""),"")</f>
        <v/>
      </c>
      <c r="B1244" s="36">
        <f t="shared" si="60"/>
        <v>7</v>
      </c>
      <c r="C1244" s="184">
        <f t="shared" si="59"/>
        <v>42559</v>
      </c>
      <c r="D1244" s="184" t="s">
        <v>1111</v>
      </c>
      <c r="E1244" s="37">
        <v>42559</v>
      </c>
      <c r="F1244" s="40" t="s">
        <v>1019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57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1"/>
      <c r="AC1244" s="557" t="str">
        <f>IF(VLOOKUP(F1244,NXT!$C$35:$C$411,1,0)=F1244,"","x")</f>
        <v/>
      </c>
    </row>
    <row r="1245" spans="1:30" s="211" customFormat="1" ht="15.75" customHeight="1">
      <c r="A1245" s="204" t="str">
        <f>IF(B1245&lt;&gt;"",IF(AND(B1245&gt;=_TM1,B1245&lt;=_TM2,OR(TH!L1633="1111",TH!M1633="1111")),TH!D1633,""),"")</f>
        <v/>
      </c>
      <c r="B1245" s="36">
        <f t="shared" si="60"/>
        <v>7</v>
      </c>
      <c r="C1245" s="184">
        <f t="shared" si="59"/>
        <v>42559</v>
      </c>
      <c r="D1245" s="184" t="s">
        <v>1111</v>
      </c>
      <c r="E1245" s="37">
        <v>42559</v>
      </c>
      <c r="F1245" s="40" t="s">
        <v>1285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57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1"/>
      <c r="AC1245" s="557" t="str">
        <f>IF(VLOOKUP(H1245,DS_131,1,0)=H1245,"","x")</f>
        <v/>
      </c>
      <c r="AD1245" s="557"/>
    </row>
    <row r="1246" spans="1:30" s="211" customFormat="1" ht="15.75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65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57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2"/>
      <c r="AC1246" s="557" t="str">
        <f>IF(VLOOKUP(H1246,DS_131,1,0)=H1246,"","x")</f>
        <v/>
      </c>
      <c r="AD1246" s="557"/>
    </row>
    <row r="1247" spans="1:30" s="211" customFormat="1" ht="15.75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65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57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2"/>
      <c r="AC1247" s="557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65">
        <v>30000000</v>
      </c>
      <c r="L1248" s="194" t="s">
        <v>8</v>
      </c>
      <c r="M1248" s="566" t="s">
        <v>24</v>
      </c>
      <c r="N1248" s="52" t="str">
        <f>IF(AND('331-CT'!$E$7=TH!H1248,OR(L1248="331",M1248="331")),"331",IF(AND(OR(L1248="131",M1248="131"),H1248='131-CT'!$E$7),"131",""))</f>
        <v/>
      </c>
      <c r="O1248" s="857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2"/>
      <c r="AC1248" s="557"/>
    </row>
    <row r="1249" spans="1:33" s="211" customFormat="1" ht="15.75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65">
        <v>13637</v>
      </c>
      <c r="L1249" s="566" t="s">
        <v>83</v>
      </c>
      <c r="M1249" s="566" t="s">
        <v>24</v>
      </c>
      <c r="N1249" s="52" t="str">
        <f>IF(AND('331-CT'!$E$7=TH!H1249,OR(L1249="331",M1249="331")),"331",IF(AND(OR(L1249="131",M1249="131"),H1249='131-CT'!$E$7),"131",""))</f>
        <v/>
      </c>
      <c r="O1249" s="857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1">
        <v>3</v>
      </c>
      <c r="AC1249" s="557"/>
      <c r="AD1249" s="557"/>
    </row>
    <row r="1250" spans="1:33" s="211" customFormat="1" ht="15.75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65">
        <v>1363</v>
      </c>
      <c r="L1250" s="566" t="s">
        <v>9</v>
      </c>
      <c r="M1250" s="566" t="s">
        <v>24</v>
      </c>
      <c r="N1250" s="52" t="str">
        <f>IF(AND('331-CT'!$E$7=TH!H1250,OR(L1250="331",M1250="331")),"331",IF(AND(OR(L1250="131",M1250="131"),H1250='131-CT'!$E$7),"131",""))</f>
        <v/>
      </c>
      <c r="O1250" s="857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1">
        <v>3</v>
      </c>
      <c r="AC1250" s="557"/>
    </row>
    <row r="1251" spans="1:33" s="211" customFormat="1" ht="15.75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65">
        <v>13637</v>
      </c>
      <c r="L1251" s="566" t="s">
        <v>83</v>
      </c>
      <c r="M1251" s="566" t="s">
        <v>24</v>
      </c>
      <c r="N1251" s="52" t="str">
        <f>IF(AND('331-CT'!$E$7=TH!H1251,OR(L1251="331",M1251="331")),"331",IF(AND(OR(L1251="131",M1251="131"),H1251='131-CT'!$E$7),"131",""))</f>
        <v/>
      </c>
      <c r="O1251" s="857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1">
        <v>3</v>
      </c>
      <c r="AC1251" s="557"/>
      <c r="AD1251" s="557"/>
    </row>
    <row r="1252" spans="1:33" s="211" customFormat="1" ht="15.75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65">
        <v>1363</v>
      </c>
      <c r="L1252" s="566" t="s">
        <v>9</v>
      </c>
      <c r="M1252" s="566" t="s">
        <v>24</v>
      </c>
      <c r="N1252" s="52" t="str">
        <f>IF(AND('331-CT'!$E$7=TH!H1252,OR(L1252="331",M1252="331")),"331",IF(AND(OR(L1252="131",M1252="131"),H1252='131-CT'!$E$7),"131",""))</f>
        <v/>
      </c>
      <c r="O1252" s="857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1">
        <v>3</v>
      </c>
      <c r="AC1252" s="557"/>
    </row>
    <row r="1253" spans="1:33" s="211" customFormat="1" ht="15.75" customHeight="1">
      <c r="A1253" s="204" t="str">
        <f>IF(B1253&lt;&gt;"",IF(AND(B1253&gt;=_TM1,B1253&lt;=_TM2,OR(TH!L1634="1111",TH!M1634="1111")),TH!D1634,""),"")</f>
        <v/>
      </c>
      <c r="B1253" s="36">
        <f t="shared" si="60"/>
        <v>7</v>
      </c>
      <c r="C1253" s="184">
        <f t="shared" si="59"/>
        <v>42563</v>
      </c>
      <c r="D1253" s="184" t="s">
        <v>1112</v>
      </c>
      <c r="E1253" s="191">
        <v>42563</v>
      </c>
      <c r="F1253" s="40" t="s">
        <v>1101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57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1"/>
      <c r="AC1253" s="557" t="str">
        <f>IF(VLOOKUP(F1253,NXT!$C$35:$C$411,1,0)=F1253,"","x")</f>
        <v/>
      </c>
      <c r="AD1253" s="557"/>
    </row>
    <row r="1254" spans="1:33" s="211" customFormat="1" ht="15.75" customHeight="1">
      <c r="A1254" s="204" t="str">
        <f>IF(B1254&lt;&gt;"",IF(AND(B1254&gt;=_TM1,B1254&lt;=_TM2,OR(TH!L1635="1111",TH!M1635="1111")),TH!D1635,""),"")</f>
        <v/>
      </c>
      <c r="B1254" s="36">
        <f t="shared" si="60"/>
        <v>7</v>
      </c>
      <c r="C1254" s="184">
        <f t="shared" si="59"/>
        <v>42563</v>
      </c>
      <c r="D1254" s="184" t="s">
        <v>1112</v>
      </c>
      <c r="E1254" s="191">
        <v>42563</v>
      </c>
      <c r="F1254" s="40" t="s">
        <v>948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57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1"/>
      <c r="AC1254" s="557" t="str">
        <f>IF(VLOOKUP(F1254,NXT!$C$35:$C$411,1,0)=F1254,"","x")</f>
        <v/>
      </c>
    </row>
    <row r="1255" spans="1:33" s="211" customFormat="1" ht="15.75" customHeight="1">
      <c r="A1255" s="204" t="str">
        <f>IF(B1255&lt;&gt;"",IF(AND(B1255&gt;=_TM1,B1255&lt;=_TM2,OR(TH!L1636="1111",TH!M1636="1111")),TH!D1636,""),"")</f>
        <v/>
      </c>
      <c r="B1255" s="36">
        <f t="shared" si="60"/>
        <v>7</v>
      </c>
      <c r="C1255" s="184">
        <f t="shared" si="59"/>
        <v>42563</v>
      </c>
      <c r="D1255" s="184" t="s">
        <v>1112</v>
      </c>
      <c r="E1255" s="191">
        <v>42563</v>
      </c>
      <c r="F1255" s="40" t="s">
        <v>1102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57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1"/>
      <c r="AC1255" s="557" t="str">
        <f>IF(VLOOKUP(F1255,NXT!$C$35:$C$411,1,0)=F1255,"","x")</f>
        <v/>
      </c>
      <c r="AD1255" s="557"/>
    </row>
    <row r="1256" spans="1:33" s="211" customFormat="1" ht="15.75" customHeight="1">
      <c r="A1256" s="204" t="str">
        <f>IF(B1256&lt;&gt;"",IF(AND(B1256&gt;=_TM1,B1256&lt;=_TM2,OR(TH!L1637="1111",TH!M1637="1111")),TH!D1637,""),"")</f>
        <v/>
      </c>
      <c r="B1256" s="36">
        <f t="shared" si="60"/>
        <v>7</v>
      </c>
      <c r="C1256" s="184">
        <f t="shared" si="59"/>
        <v>42563</v>
      </c>
      <c r="D1256" s="184" t="s">
        <v>1112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57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1"/>
      <c r="AC1256" s="557" t="str">
        <f>IF(VLOOKUP(F1256,NXT!$C$35:$C$411,1,0)=F1256,"","x")</f>
        <v/>
      </c>
    </row>
    <row r="1257" spans="1:33" s="211" customFormat="1" ht="15.75" customHeight="1">
      <c r="A1257" s="204" t="str">
        <f>IF(B1257&lt;&gt;"",IF(AND(B1257&gt;=_TM1,B1257&lt;=_TM2,OR(TH!L1638="1111",TH!M1638="1111")),TH!D1638,""),"")</f>
        <v/>
      </c>
      <c r="B1257" s="36">
        <f t="shared" si="60"/>
        <v>7</v>
      </c>
      <c r="C1257" s="184">
        <f t="shared" si="59"/>
        <v>42563</v>
      </c>
      <c r="D1257" s="184" t="s">
        <v>1112</v>
      </c>
      <c r="E1257" s="191">
        <v>42563</v>
      </c>
      <c r="F1257" s="40" t="s">
        <v>1103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57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1"/>
      <c r="AC1257" s="557" t="str">
        <f>IF(VLOOKUP(F1257,NXT!$C$35:$C$411,1,0)=F1257,"","x")</f>
        <v/>
      </c>
      <c r="AD1257" s="557"/>
    </row>
    <row r="1258" spans="1:33" s="211" customFormat="1" ht="15.75" customHeight="1">
      <c r="A1258" s="204" t="str">
        <f>IF(B1258&lt;&gt;"",IF(AND(B1258&gt;=_TM1,B1258&lt;=_TM2,OR(TH!L1639="1111",TH!M1639="1111")),TH!D1639,""),"")</f>
        <v/>
      </c>
      <c r="B1258" s="36">
        <f t="shared" si="60"/>
        <v>7</v>
      </c>
      <c r="C1258" s="184">
        <f t="shared" si="59"/>
        <v>42563</v>
      </c>
      <c r="D1258" s="184" t="s">
        <v>1112</v>
      </c>
      <c r="E1258" s="191">
        <v>42563</v>
      </c>
      <c r="F1258" s="40" t="s">
        <v>1285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57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1"/>
      <c r="AC1258" s="557" t="str">
        <f>IF(VLOOKUP(H1258,DS_131,1,0)=H1258,"","x")</f>
        <v/>
      </c>
    </row>
    <row r="1259" spans="1:33" s="211" customFormat="1" ht="15.75" customHeight="1">
      <c r="A1259" s="204" t="str">
        <f>IF(B1259&lt;&gt;"",IF(AND(B1259&gt;=_TM1,B1259&lt;=_TM2,OR(TH!L1640="1111",TH!M1640="1111")),TH!D1640,""),"")</f>
        <v/>
      </c>
      <c r="B1259" s="36">
        <f t="shared" si="60"/>
        <v>7</v>
      </c>
      <c r="C1259" s="184">
        <f t="shared" si="59"/>
        <v>42563</v>
      </c>
      <c r="D1259" s="184" t="s">
        <v>1113</v>
      </c>
      <c r="E1259" s="191">
        <v>42563</v>
      </c>
      <c r="F1259" s="40" t="s">
        <v>1099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57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1"/>
      <c r="AC1259" s="557" t="str">
        <f>IF(VLOOKUP(F1259,NXT!$C$35:$C$411,1,0)=F1259,"","x")</f>
        <v/>
      </c>
      <c r="AD1259" s="557"/>
    </row>
    <row r="1260" spans="1:33" s="211" customFormat="1" ht="15.75" customHeight="1">
      <c r="A1260" s="204" t="str">
        <f>IF(B1260&lt;&gt;"",IF(AND(B1260&gt;=_TM1,B1260&lt;=_TM2,OR(TH!L1641="1111",TH!M1641="1111")),TH!D1641,""),"")</f>
        <v/>
      </c>
      <c r="B1260" s="36">
        <f t="shared" si="60"/>
        <v>7</v>
      </c>
      <c r="C1260" s="184">
        <f t="shared" si="59"/>
        <v>42563</v>
      </c>
      <c r="D1260" s="184" t="s">
        <v>1113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57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1"/>
      <c r="AC1260" s="557" t="str">
        <f>IF(VLOOKUP(F1260,NXT!$C$35:$C$411,1,0)=F1260,"","x")</f>
        <v/>
      </c>
    </row>
    <row r="1261" spans="1:33" s="211" customFormat="1" ht="15.75" customHeight="1">
      <c r="A1261" s="204" t="str">
        <f>IF(B1261&lt;&gt;"",IF(AND(B1261&gt;=_TM1,B1261&lt;=_TM2,OR(TH!L1642="1111",TH!M1642="1111")),TH!D1642,""),"")</f>
        <v/>
      </c>
      <c r="B1261" s="36">
        <f t="shared" si="60"/>
        <v>7</v>
      </c>
      <c r="C1261" s="184">
        <f t="shared" si="59"/>
        <v>42563</v>
      </c>
      <c r="D1261" s="184" t="s">
        <v>1113</v>
      </c>
      <c r="E1261" s="191">
        <v>42563</v>
      </c>
      <c r="F1261" s="40" t="s">
        <v>1285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57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1"/>
      <c r="AC1261" s="557" t="str">
        <f>IF(VLOOKUP(H1261,DS_131,1,0)=H1261,"","x")</f>
        <v/>
      </c>
      <c r="AD1261" s="557"/>
    </row>
    <row r="1262" spans="1:33" s="827" customFormat="1" ht="15.75" customHeight="1">
      <c r="A1262" s="895" t="str">
        <f>IF(B1262&lt;&gt;"",IF(AND(B1262&gt;=_TM1,B1262&lt;=_TM2,OR(TH!L1643="1111",TH!M1643="1111")),TH!D1643,""),"")</f>
        <v/>
      </c>
      <c r="B1262" s="896">
        <f t="shared" si="60"/>
        <v>7</v>
      </c>
      <c r="C1262" s="897">
        <f t="shared" si="59"/>
        <v>42563</v>
      </c>
      <c r="D1262" s="897" t="s">
        <v>334</v>
      </c>
      <c r="E1262" s="869">
        <v>42563</v>
      </c>
      <c r="F1262" s="49" t="s">
        <v>359</v>
      </c>
      <c r="G1262" s="904" t="s">
        <v>1329</v>
      </c>
      <c r="H1262" s="872" t="s">
        <v>1330</v>
      </c>
      <c r="I1262" s="254"/>
      <c r="J1262" s="254"/>
      <c r="K1262" s="51">
        <v>15000000</v>
      </c>
      <c r="L1262" s="857" t="s">
        <v>259</v>
      </c>
      <c r="M1262" s="857" t="s">
        <v>85</v>
      </c>
      <c r="N1262" s="52" t="str">
        <f>IF(AND('331-CT'!$E$7=TH!H1262,OR(L1262="331",M1262="331")),"331",IF(AND(OR(L1262="131",M1262="131"),H1262='131-CT'!$E$7),"131",""))</f>
        <v/>
      </c>
      <c r="O1262" s="857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1"/>
      <c r="AC1262" s="899"/>
      <c r="AD1262" s="899"/>
      <c r="AE1262" s="900"/>
      <c r="AF1262" s="900"/>
      <c r="AG1262" s="900"/>
    </row>
    <row r="1263" spans="1:33" s="211" customFormat="1" ht="15.75" customHeight="1">
      <c r="A1263" s="895" t="str">
        <f>IF(B1263&lt;&gt;"",IF(AND(B1263&gt;=_TM1,B1263&lt;=_TM2,OR(TH!L1644="1111",TH!M1644="1111")),TH!D1644,""),"")</f>
        <v/>
      </c>
      <c r="B1263" s="896">
        <f t="shared" si="60"/>
        <v>7</v>
      </c>
      <c r="C1263" s="897">
        <f t="shared" si="59"/>
        <v>42563</v>
      </c>
      <c r="D1263" s="897" t="s">
        <v>334</v>
      </c>
      <c r="E1263" s="869">
        <v>42563</v>
      </c>
      <c r="F1263" s="49" t="s">
        <v>360</v>
      </c>
      <c r="G1263" s="904" t="s">
        <v>1329</v>
      </c>
      <c r="H1263" s="872" t="s">
        <v>1330</v>
      </c>
      <c r="I1263" s="254"/>
      <c r="J1263" s="254"/>
      <c r="K1263" s="51">
        <v>25000000</v>
      </c>
      <c r="L1263" s="857" t="s">
        <v>259</v>
      </c>
      <c r="M1263" s="857" t="s">
        <v>85</v>
      </c>
      <c r="N1263" s="52" t="str">
        <f>IF(AND('331-CT'!$E$7=TH!H1263,OR(L1263="331",M1263="331")),"331",IF(AND(OR(L1263="131",M1263="131"),H1263='131-CT'!$E$7),"131",""))</f>
        <v/>
      </c>
      <c r="O1263" s="857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1"/>
      <c r="AC1263" s="899"/>
      <c r="AD1263" s="899"/>
      <c r="AE1263" s="900"/>
      <c r="AF1263" s="900"/>
      <c r="AG1263" s="900"/>
    </row>
    <row r="1264" spans="1:33" s="211" customFormat="1" ht="15.75" customHeight="1">
      <c r="A1264" s="895" t="str">
        <f>IF(B1264&lt;&gt;"",IF(AND(B1264&gt;=_TM1,B1264&lt;=_TM2,OR(TH!L1645="1111",TH!M1645="1111")),TH!D1645,""),"")</f>
        <v/>
      </c>
      <c r="B1264" s="896">
        <f t="shared" si="60"/>
        <v>7</v>
      </c>
      <c r="C1264" s="897">
        <f t="shared" si="59"/>
        <v>42563</v>
      </c>
      <c r="D1264" s="897" t="s">
        <v>334</v>
      </c>
      <c r="E1264" s="869">
        <v>42563</v>
      </c>
      <c r="F1264" s="49" t="s">
        <v>361</v>
      </c>
      <c r="G1264" s="904" t="s">
        <v>1329</v>
      </c>
      <c r="H1264" s="872" t="s">
        <v>1330</v>
      </c>
      <c r="I1264" s="254"/>
      <c r="J1264" s="254"/>
      <c r="K1264" s="51">
        <v>300000000</v>
      </c>
      <c r="L1264" s="857" t="s">
        <v>259</v>
      </c>
      <c r="M1264" s="857" t="s">
        <v>85</v>
      </c>
      <c r="N1264" s="52" t="str">
        <f>IF(AND('331-CT'!$E$7=TH!H1264,OR(L1264="331",M1264="331")),"331",IF(AND(OR(L1264="131",M1264="131"),H1264='131-CT'!$E$7),"131",""))</f>
        <v/>
      </c>
      <c r="O1264" s="857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1"/>
      <c r="AC1264" s="899"/>
      <c r="AD1264" s="900"/>
      <c r="AE1264" s="900"/>
      <c r="AF1264" s="900"/>
      <c r="AG1264" s="900"/>
    </row>
    <row r="1265" spans="1:33" s="211" customFormat="1" ht="15.75" customHeight="1">
      <c r="A1265" s="895" t="str">
        <f>IF(B1265&lt;&gt;"",IF(AND(B1265&gt;=_TM1,B1265&lt;=_TM2,OR(TH!L1646="1111",TH!M1646="1111")),TH!D1646,""),"")</f>
        <v/>
      </c>
      <c r="B1265" s="896">
        <f t="shared" si="60"/>
        <v>7</v>
      </c>
      <c r="C1265" s="897">
        <f t="shared" si="59"/>
        <v>42563</v>
      </c>
      <c r="D1265" s="897" t="s">
        <v>334</v>
      </c>
      <c r="E1265" s="869">
        <v>42563</v>
      </c>
      <c r="F1265" s="49" t="s">
        <v>1332</v>
      </c>
      <c r="G1265" s="904" t="s">
        <v>1329</v>
      </c>
      <c r="H1265" s="872" t="s">
        <v>1330</v>
      </c>
      <c r="I1265" s="254"/>
      <c r="J1265" s="254"/>
      <c r="K1265" s="51">
        <v>500000000</v>
      </c>
      <c r="L1265" s="857" t="s">
        <v>259</v>
      </c>
      <c r="M1265" s="857" t="s">
        <v>85</v>
      </c>
      <c r="N1265" s="52" t="str">
        <f>IF(AND('331-CT'!$E$7=TH!H1265,OR(L1265="331",M1265="331")),"331",IF(AND(OR(L1265="131",M1265="131"),H1265='131-CT'!$E$7),"131",""))</f>
        <v/>
      </c>
      <c r="O1265" s="857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1"/>
      <c r="AC1265" s="899"/>
      <c r="AD1265" s="900"/>
      <c r="AE1265" s="900"/>
      <c r="AF1265" s="900"/>
      <c r="AG1265" s="900"/>
    </row>
    <row r="1266" spans="1:33" s="211" customFormat="1" ht="15.75" customHeight="1">
      <c r="A1266" s="895" t="str">
        <f>IF(B1266&lt;&gt;"",IF(AND(B1266&gt;=_TM1,B1266&lt;=_TM2,OR(TH!L1647="1111",TH!M1647="1111")),TH!D1647,""),"")</f>
        <v/>
      </c>
      <c r="B1266" s="896">
        <f t="shared" si="60"/>
        <v>7</v>
      </c>
      <c r="C1266" s="897">
        <f t="shared" si="59"/>
        <v>42563</v>
      </c>
      <c r="D1266" s="897" t="s">
        <v>334</v>
      </c>
      <c r="E1266" s="869">
        <v>42563</v>
      </c>
      <c r="F1266" s="49" t="s">
        <v>1331</v>
      </c>
      <c r="G1266" s="904" t="s">
        <v>1329</v>
      </c>
      <c r="H1266" s="872" t="s">
        <v>1330</v>
      </c>
      <c r="I1266" s="254"/>
      <c r="J1266" s="254"/>
      <c r="K1266" s="51">
        <v>84000000</v>
      </c>
      <c r="L1266" s="857" t="s">
        <v>259</v>
      </c>
      <c r="M1266" s="857" t="s">
        <v>370</v>
      </c>
      <c r="N1266" s="52" t="str">
        <f>IF(AND('331-CT'!$E$7=TH!H1266,OR(L1266="331",M1266="331")),"331",IF(AND(OR(L1266="131",M1266="131"),H1266='131-CT'!$E$7),"131",""))</f>
        <v/>
      </c>
      <c r="O1266" s="857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1"/>
      <c r="AC1266" s="899"/>
      <c r="AD1266" s="899"/>
      <c r="AE1266" s="900"/>
      <c r="AF1266" s="900"/>
      <c r="AG1266" s="900"/>
    </row>
    <row r="1267" spans="1:33" s="211" customFormat="1" ht="15.75" customHeight="1">
      <c r="A1267" s="895" t="str">
        <f>IF(B1267&lt;&gt;"",IF(AND(B1267&gt;=_TM1,B1267&lt;=_TM2,OR(TH!L1648="1111",TH!M1648="1111")),TH!D1648,""),"")</f>
        <v/>
      </c>
      <c r="B1267" s="896">
        <f t="shared" si="60"/>
        <v>7</v>
      </c>
      <c r="C1267" s="897">
        <f t="shared" si="59"/>
        <v>42563</v>
      </c>
      <c r="D1267" s="897" t="s">
        <v>334</v>
      </c>
      <c r="E1267" s="869">
        <v>42563</v>
      </c>
      <c r="F1267" s="49" t="s">
        <v>359</v>
      </c>
      <c r="G1267" s="904" t="s">
        <v>1329</v>
      </c>
      <c r="H1267" s="872" t="s">
        <v>1330</v>
      </c>
      <c r="I1267" s="254"/>
      <c r="J1267" s="254"/>
      <c r="K1267" s="51">
        <v>18000000</v>
      </c>
      <c r="L1267" s="857" t="s">
        <v>260</v>
      </c>
      <c r="M1267" s="857" t="s">
        <v>169</v>
      </c>
      <c r="N1267" s="52" t="str">
        <f>IF(AND('331-CT'!$E$7=TH!H1267,OR(L1267="331",M1267="331")),"331",IF(AND(OR(L1267="131",M1267="131"),H1267='131-CT'!$E$7),"131",""))</f>
        <v/>
      </c>
      <c r="O1267" s="857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1"/>
      <c r="AC1267" s="899"/>
      <c r="AD1267" s="899"/>
      <c r="AE1267" s="900"/>
      <c r="AF1267" s="900"/>
      <c r="AG1267" s="900"/>
    </row>
    <row r="1268" spans="1:33" s="211" customFormat="1" ht="15.75" customHeight="1">
      <c r="A1268" s="895" t="str">
        <f>IF(B1268&lt;&gt;"",IF(AND(B1268&gt;=_TM1,B1268&lt;=_TM2,OR(TH!L1649="1111",TH!M1649="1111")),TH!D1649,""),"")</f>
        <v/>
      </c>
      <c r="B1268" s="896">
        <f t="shared" si="60"/>
        <v>7</v>
      </c>
      <c r="C1268" s="897">
        <f t="shared" si="59"/>
        <v>42563</v>
      </c>
      <c r="D1268" s="897" t="s">
        <v>334</v>
      </c>
      <c r="E1268" s="869">
        <v>42563</v>
      </c>
      <c r="F1268" s="49" t="s">
        <v>360</v>
      </c>
      <c r="G1268" s="904" t="s">
        <v>1329</v>
      </c>
      <c r="H1268" s="872" t="s">
        <v>1330</v>
      </c>
      <c r="I1268" s="254"/>
      <c r="J1268" s="254"/>
      <c r="K1268" s="51">
        <v>27000000</v>
      </c>
      <c r="L1268" s="857" t="s">
        <v>260</v>
      </c>
      <c r="M1268" s="857" t="s">
        <v>169</v>
      </c>
      <c r="N1268" s="52" t="str">
        <f>IF(AND('331-CT'!$E$7=TH!H1268,OR(L1268="331",M1268="331")),"331",IF(AND(OR(L1268="131",M1268="131"),H1268='131-CT'!$E$7),"131",""))</f>
        <v/>
      </c>
      <c r="O1268" s="857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1"/>
      <c r="AC1268" s="899"/>
      <c r="AD1268" s="899"/>
      <c r="AE1268" s="900"/>
      <c r="AF1268" s="900"/>
      <c r="AG1268" s="900"/>
    </row>
    <row r="1269" spans="1:33" s="211" customFormat="1" ht="15.75" customHeight="1">
      <c r="A1269" s="895" t="str">
        <f>IF(B1269&lt;&gt;"",IF(AND(B1269&gt;=_TM1,B1269&lt;=_TM2,OR(TH!L1650="1111",TH!M1650="1111")),TH!D1650,""),"")</f>
        <v/>
      </c>
      <c r="B1269" s="896">
        <f t="shared" si="60"/>
        <v>7</v>
      </c>
      <c r="C1269" s="897">
        <f t="shared" si="59"/>
        <v>42563</v>
      </c>
      <c r="D1269" s="897" t="s">
        <v>334</v>
      </c>
      <c r="E1269" s="869">
        <v>42563</v>
      </c>
      <c r="F1269" s="49" t="s">
        <v>361</v>
      </c>
      <c r="G1269" s="904" t="s">
        <v>1329</v>
      </c>
      <c r="H1269" s="872" t="s">
        <v>1330</v>
      </c>
      <c r="I1269" s="254"/>
      <c r="J1269" s="254"/>
      <c r="K1269" s="51">
        <v>320000000</v>
      </c>
      <c r="L1269" s="857" t="s">
        <v>260</v>
      </c>
      <c r="M1269" s="857" t="s">
        <v>169</v>
      </c>
      <c r="N1269" s="52" t="str">
        <f>IF(AND('331-CT'!$E$7=TH!H1269,OR(L1269="331",M1269="331")),"331",IF(AND(OR(L1269="131",M1269="131"),H1269='131-CT'!$E$7),"131",""))</f>
        <v/>
      </c>
      <c r="O1269" s="857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1"/>
      <c r="AC1269" s="899"/>
      <c r="AD1269" s="900"/>
      <c r="AE1269" s="900"/>
      <c r="AF1269" s="900"/>
      <c r="AG1269" s="900"/>
    </row>
    <row r="1270" spans="1:33" s="211" customFormat="1" ht="15.75" customHeight="1">
      <c r="A1270" s="895" t="str">
        <f>IF(B1270&lt;&gt;"",IF(AND(B1270&gt;=_TM1,B1270&lt;=_TM2,OR(TH!L1651="1111",TH!M1651="1111")),TH!D1651,""),"")</f>
        <v/>
      </c>
      <c r="B1270" s="896">
        <f t="shared" si="60"/>
        <v>7</v>
      </c>
      <c r="C1270" s="897">
        <f t="shared" si="59"/>
        <v>42563</v>
      </c>
      <c r="D1270" s="897" t="s">
        <v>334</v>
      </c>
      <c r="E1270" s="869">
        <v>42563</v>
      </c>
      <c r="F1270" s="49" t="s">
        <v>1332</v>
      </c>
      <c r="G1270" s="904" t="s">
        <v>1329</v>
      </c>
      <c r="H1270" s="872" t="s">
        <v>1330</v>
      </c>
      <c r="I1270" s="254"/>
      <c r="J1270" s="254"/>
      <c r="K1270" s="51">
        <v>50000000</v>
      </c>
      <c r="L1270" s="857" t="s">
        <v>260</v>
      </c>
      <c r="M1270" s="857" t="s">
        <v>169</v>
      </c>
      <c r="N1270" s="52" t="str">
        <f>IF(AND('331-CT'!$E$7=TH!H1270,OR(L1270="331",M1270="331")),"331",IF(AND(OR(L1270="131",M1270="131"),H1270='131-CT'!$E$7),"131",""))</f>
        <v/>
      </c>
      <c r="O1270" s="857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1"/>
      <c r="AC1270" s="899"/>
      <c r="AD1270" s="900"/>
      <c r="AE1270" s="900"/>
      <c r="AF1270" s="900"/>
      <c r="AG1270" s="900"/>
    </row>
    <row r="1271" spans="1:33" s="211" customFormat="1" ht="15.75" customHeight="1">
      <c r="A1271" s="895" t="str">
        <f>IF(B1271&lt;&gt;"",IF(AND(B1271&gt;=_TM1,B1271&lt;=_TM2,OR(TH!L1652="1111",TH!M1652="1111")),TH!D1652,""),"")</f>
        <v/>
      </c>
      <c r="B1271" s="896">
        <f t="shared" si="60"/>
        <v>7</v>
      </c>
      <c r="C1271" s="897">
        <f t="shared" si="59"/>
        <v>42563</v>
      </c>
      <c r="D1271" s="897" t="s">
        <v>334</v>
      </c>
      <c r="E1271" s="869">
        <v>42563</v>
      </c>
      <c r="F1271" s="49" t="s">
        <v>1332</v>
      </c>
      <c r="G1271" s="904" t="s">
        <v>1329</v>
      </c>
      <c r="H1271" s="872" t="s">
        <v>1330</v>
      </c>
      <c r="I1271" s="254"/>
      <c r="J1271" s="254"/>
      <c r="K1271" s="51">
        <v>450000000</v>
      </c>
      <c r="L1271" s="857" t="s">
        <v>87</v>
      </c>
      <c r="M1271" s="857" t="s">
        <v>169</v>
      </c>
      <c r="N1271" s="52" t="str">
        <f>IF(AND('331-CT'!$E$7=TH!H1271,OR(L1271="331",M1271="331")),"331",IF(AND(OR(L1271="131",M1271="131"),H1271='131-CT'!$E$7),"131",""))</f>
        <v/>
      </c>
      <c r="O1271" s="857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1"/>
      <c r="AC1271" s="899"/>
      <c r="AD1271" s="900"/>
      <c r="AE1271" s="900"/>
      <c r="AF1271" s="900"/>
      <c r="AG1271" s="900"/>
    </row>
    <row r="1272" spans="1:33" s="211" customFormat="1" ht="15.75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65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57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2"/>
      <c r="AC1272" s="557" t="str">
        <f>IF(VLOOKUP(H1272,DS_131,1,0)=H1272,"","x")</f>
        <v/>
      </c>
      <c r="AD1272" s="557"/>
    </row>
    <row r="1273" spans="1:33" s="211" customFormat="1" ht="15.75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65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57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2"/>
      <c r="AC1273" s="557" t="str">
        <f>IF(VLOOKUP(H1273,DS_131,1,0)=H1273,"","x")</f>
        <v/>
      </c>
      <c r="AD1273" s="557"/>
    </row>
    <row r="1274" spans="1:33" s="211" customFormat="1" ht="15.75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65">
        <v>16000000</v>
      </c>
      <c r="L1274" s="566" t="s">
        <v>47</v>
      </c>
      <c r="M1274" s="566" t="s">
        <v>24</v>
      </c>
      <c r="N1274" s="52" t="str">
        <f>IF(AND('331-CT'!$E$7=TH!H1274,OR(L1274="331",M1274="331")),"331",IF(AND(OR(L1274="131",M1274="131"),H1274='131-CT'!$E$7),"131",""))</f>
        <v/>
      </c>
      <c r="O1274" s="857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2"/>
      <c r="AC1274" s="557"/>
    </row>
    <row r="1275" spans="1:33" s="211" customFormat="1" ht="15.75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65">
        <v>32810000</v>
      </c>
      <c r="L1275" s="194" t="s">
        <v>24</v>
      </c>
      <c r="M1275" s="566" t="s">
        <v>47</v>
      </c>
      <c r="N1275" s="52" t="str">
        <f>IF(AND('331-CT'!$E$7=TH!H1275,OR(L1275="331",M1275="331")),"331",IF(AND(OR(L1275="131",M1275="131"),H1275='131-CT'!$E$7),"131",""))</f>
        <v/>
      </c>
      <c r="O1275" s="857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1"/>
      <c r="AC1275" s="557"/>
      <c r="AD1275" s="557"/>
      <c r="AE1275" s="557"/>
      <c r="AF1275" s="557"/>
      <c r="AG1275" s="557"/>
    </row>
    <row r="1276" spans="1:33" s="211" customFormat="1" ht="15.75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65">
        <v>751688</v>
      </c>
      <c r="L1276" s="566" t="s">
        <v>81</v>
      </c>
      <c r="M1276" s="566" t="s">
        <v>24</v>
      </c>
      <c r="N1276" s="52" t="str">
        <f>IF(AND('331-CT'!$E$7=TH!H1276,OR(L1276="331",M1276="331")),"331",IF(AND(OR(L1276="131",M1276="131"),H1276='131-CT'!$E$7),"131",""))</f>
        <v/>
      </c>
      <c r="O1276" s="857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1"/>
      <c r="AC1276" s="557"/>
      <c r="AD1276" s="557"/>
      <c r="AE1276" s="557"/>
      <c r="AF1276" s="557"/>
      <c r="AG1276" s="557"/>
    </row>
    <row r="1277" spans="1:33" s="211" customFormat="1" ht="15.75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65">
        <v>1336000</v>
      </c>
      <c r="L1277" s="566" t="s">
        <v>81</v>
      </c>
      <c r="M1277" s="566" t="s">
        <v>24</v>
      </c>
      <c r="N1277" s="52" t="str">
        <f>IF(AND('331-CT'!$E$7=TH!H1277,OR(L1277="331",M1277="331")),"331",IF(AND(OR(L1277="131",M1277="131"),H1277='131-CT'!$E$7),"131",""))</f>
        <v/>
      </c>
      <c r="O1277" s="857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1"/>
      <c r="AC1277" s="557"/>
      <c r="AD1277" s="557"/>
      <c r="AE1277" s="557"/>
      <c r="AF1277" s="557"/>
      <c r="AG1277" s="557"/>
    </row>
    <row r="1278" spans="1:33" s="211" customFormat="1" ht="15.75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66" t="s">
        <v>786</v>
      </c>
      <c r="M1278" s="566" t="s">
        <v>24</v>
      </c>
      <c r="N1278" s="52" t="str">
        <f>IF(AND('331-CT'!$E$7=TH!H1278,OR(L1278="331",M1278="331")),"331",IF(AND(OR(L1278="131",M1278="131"),H1278='131-CT'!$E$7),"131",""))</f>
        <v/>
      </c>
      <c r="O1278" s="857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1"/>
      <c r="AC1278" s="557"/>
      <c r="AD1278" s="557"/>
      <c r="AE1278" s="557"/>
      <c r="AF1278" s="557"/>
      <c r="AG1278" s="557"/>
    </row>
    <row r="1279" spans="1:33" s="211" customFormat="1" ht="15.75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65">
        <v>2437381</v>
      </c>
      <c r="L1279" s="566" t="s">
        <v>81</v>
      </c>
      <c r="M1279" s="566" t="s">
        <v>24</v>
      </c>
      <c r="N1279" s="52" t="str">
        <f>IF(AND('331-CT'!$E$7=TH!H1279,OR(L1279="331",M1279="331")),"331",IF(AND(OR(L1279="131",M1279="131"),H1279='131-CT'!$E$7),"131",""))</f>
        <v/>
      </c>
      <c r="O1279" s="857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1"/>
      <c r="AC1279" s="557"/>
      <c r="AD1279" s="557"/>
      <c r="AE1279" s="557"/>
      <c r="AF1279" s="557"/>
      <c r="AG1279" s="557"/>
    </row>
    <row r="1280" spans="1:33" s="211" customFormat="1" ht="15.75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65">
        <v>11875175</v>
      </c>
      <c r="L1280" s="566" t="s">
        <v>81</v>
      </c>
      <c r="M1280" s="566" t="s">
        <v>24</v>
      </c>
      <c r="N1280" s="52" t="str">
        <f>IF(AND('331-CT'!$E$7=TH!H1280,OR(L1280="331",M1280="331")),"331",IF(AND(OR(L1280="131",M1280="131"),H1280='131-CT'!$E$7),"131",""))</f>
        <v/>
      </c>
      <c r="O1280" s="857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1"/>
      <c r="AC1280" s="557"/>
      <c r="AD1280" s="557"/>
      <c r="AE1280" s="557"/>
      <c r="AF1280" s="557"/>
      <c r="AG1280" s="557"/>
    </row>
    <row r="1281" spans="1:30" s="211" customFormat="1" ht="15.75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65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57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2"/>
      <c r="AC1281" s="557"/>
    </row>
    <row r="1282" spans="1:30" s="211" customFormat="1" ht="15.75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65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57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2"/>
      <c r="AC1282" s="557" t="str">
        <f>IF(VLOOKUP(H1282,DS_131,1,0)=H1282,"","x")</f>
        <v/>
      </c>
      <c r="AD1282" s="557"/>
    </row>
    <row r="1283" spans="1:30" s="211" customFormat="1" ht="15.75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65">
        <v>23000000</v>
      </c>
      <c r="L1283" s="566" t="s">
        <v>47</v>
      </c>
      <c r="M1283" s="566" t="s">
        <v>24</v>
      </c>
      <c r="N1283" s="52" t="str">
        <f>IF(AND('331-CT'!$E$7=TH!H1283,OR(L1283="331",M1283="331")),"331",IF(AND(OR(L1283="131",M1283="131"),H1283='131-CT'!$E$7),"131",""))</f>
        <v/>
      </c>
      <c r="O1283" s="857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2"/>
      <c r="AC1283" s="557"/>
      <c r="AD1283" s="557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65">
        <v>5000000</v>
      </c>
      <c r="L1284" s="194" t="s">
        <v>8</v>
      </c>
      <c r="M1284" s="566" t="s">
        <v>24</v>
      </c>
      <c r="N1284" s="52" t="str">
        <f>IF(AND('331-CT'!$E$7=TH!H1284,OR(L1284="331",M1284="331")),"331",IF(AND(OR(L1284="131",M1284="131"),H1284='131-CT'!$E$7),"131",""))</f>
        <v/>
      </c>
      <c r="O1284" s="857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2"/>
      <c r="AC1284" s="557"/>
    </row>
    <row r="1285" spans="1:30" s="211" customFormat="1" ht="15.75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65">
        <v>13637</v>
      </c>
      <c r="L1285" s="566" t="s">
        <v>83</v>
      </c>
      <c r="M1285" s="566" t="s">
        <v>24</v>
      </c>
      <c r="N1285" s="52" t="str">
        <f>IF(AND('331-CT'!$E$7=TH!H1285,OR(L1285="331",M1285="331")),"331",IF(AND(OR(L1285="131",M1285="131"),H1285='131-CT'!$E$7),"131",""))</f>
        <v/>
      </c>
      <c r="O1285" s="857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1">
        <v>3</v>
      </c>
      <c r="AC1285" s="557"/>
      <c r="AD1285" s="557"/>
    </row>
    <row r="1286" spans="1:30" s="211" customFormat="1" ht="15.75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65">
        <v>1363</v>
      </c>
      <c r="L1286" s="566" t="s">
        <v>9</v>
      </c>
      <c r="M1286" s="566" t="s">
        <v>24</v>
      </c>
      <c r="N1286" s="52" t="str">
        <f>IF(AND('331-CT'!$E$7=TH!H1286,OR(L1286="331",M1286="331")),"331",IF(AND(OR(L1286="131",M1286="131"),H1286='131-CT'!$E$7),"131",""))</f>
        <v/>
      </c>
      <c r="O1286" s="857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1">
        <v>3</v>
      </c>
      <c r="AC1286" s="557"/>
    </row>
    <row r="1287" spans="1:30" s="211" customFormat="1" ht="15.75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1213</v>
      </c>
      <c r="E1287" s="37">
        <v>42581</v>
      </c>
      <c r="F1287" s="40" t="s">
        <v>888</v>
      </c>
      <c r="G1287" s="455" t="s">
        <v>1284</v>
      </c>
      <c r="H1287" s="7" t="s">
        <v>889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57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2">
        <v>3</v>
      </c>
      <c r="AC1287" s="557"/>
      <c r="AD1287" s="211" t="str">
        <f>IF(VLOOKUP(H1287,DSKH,1,0)=H1287,"","x")</f>
        <v/>
      </c>
    </row>
    <row r="1288" spans="1:30" s="211" customFormat="1" ht="15.75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1213</v>
      </c>
      <c r="E1288" s="37">
        <v>42581</v>
      </c>
      <c r="F1288" s="40" t="s">
        <v>890</v>
      </c>
      <c r="G1288" s="455" t="s">
        <v>1284</v>
      </c>
      <c r="H1288" s="7" t="s">
        <v>889</v>
      </c>
      <c r="I1288" s="256"/>
      <c r="J1288" s="256"/>
      <c r="K1288" s="565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57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2">
        <v>3</v>
      </c>
      <c r="AC1288" s="557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891</v>
      </c>
      <c r="G1289" s="455" t="s">
        <v>1284</v>
      </c>
      <c r="H1289" s="7" t="s">
        <v>889</v>
      </c>
      <c r="I1289" s="256"/>
      <c r="J1289" s="256"/>
      <c r="K1289" s="565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57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2"/>
      <c r="AC1289" s="557"/>
      <c r="AD1289" s="211" t="str">
        <f>IF(VLOOKUP(H1289,DSKH,1,0)=H1289,"","x")</f>
        <v/>
      </c>
    </row>
    <row r="1290" spans="1:30" s="211" customFormat="1" ht="15.75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49" t="s">
        <v>808</v>
      </c>
      <c r="I1290" s="256"/>
      <c r="J1290" s="256"/>
      <c r="K1290" s="565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57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2"/>
      <c r="AC1290" s="557" t="str">
        <f>IF(VLOOKUP(H1290,DS_131,1,0)=H1290,"","x")</f>
        <v/>
      </c>
      <c r="AD1290" s="557"/>
    </row>
    <row r="1291" spans="1:30" s="211" customFormat="1" ht="15.75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65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57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2"/>
      <c r="AC1291" s="557" t="str">
        <f>IF(VLOOKUP(H1291,DS_131,1,0)=H1291,"","x")</f>
        <v/>
      </c>
    </row>
    <row r="1292" spans="1:30" s="211" customFormat="1" ht="15.75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65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57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2"/>
      <c r="AC1292" s="557"/>
      <c r="AD1292" s="557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65">
        <v>20000000</v>
      </c>
      <c r="L1293" s="194" t="s">
        <v>8</v>
      </c>
      <c r="M1293" s="566" t="s">
        <v>24</v>
      </c>
      <c r="N1293" s="52" t="str">
        <f>IF(AND('331-CT'!$E$7=TH!H1293,OR(L1293="331",M1293="331")),"331",IF(AND(OR(L1293="131",M1293="131"),H1293='131-CT'!$E$7),"131",""))</f>
        <v/>
      </c>
      <c r="O1293" s="857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2"/>
      <c r="AC1293" s="557"/>
    </row>
    <row r="1294" spans="1:30" s="211" customFormat="1" ht="15.75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65">
        <v>13637</v>
      </c>
      <c r="L1294" s="566" t="s">
        <v>83</v>
      </c>
      <c r="M1294" s="566" t="s">
        <v>24</v>
      </c>
      <c r="N1294" s="52" t="str">
        <f>IF(AND('331-CT'!$E$7=TH!H1294,OR(L1294="331",M1294="331")),"331",IF(AND(OR(L1294="131",M1294="131"),H1294='131-CT'!$E$7),"131",""))</f>
        <v/>
      </c>
      <c r="O1294" s="857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1">
        <v>3</v>
      </c>
      <c r="AC1294" s="557"/>
      <c r="AD1294" s="557"/>
    </row>
    <row r="1295" spans="1:30" s="211" customFormat="1" ht="15.75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65">
        <v>1363</v>
      </c>
      <c r="L1295" s="566" t="s">
        <v>9</v>
      </c>
      <c r="M1295" s="566" t="s">
        <v>24</v>
      </c>
      <c r="N1295" s="52" t="str">
        <f>IF(AND('331-CT'!$E$7=TH!H1295,OR(L1295="331",M1295="331")),"331",IF(AND(OR(L1295="131",M1295="131"),H1295='131-CT'!$E$7),"131",""))</f>
        <v/>
      </c>
      <c r="O1295" s="857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1">
        <v>3</v>
      </c>
      <c r="AC1295" s="557"/>
    </row>
    <row r="1296" spans="1:30" s="211" customFormat="1" ht="15.75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65">
        <v>13637</v>
      </c>
      <c r="L1296" s="566" t="s">
        <v>83</v>
      </c>
      <c r="M1296" s="566" t="s">
        <v>24</v>
      </c>
      <c r="N1296" s="52" t="str">
        <f>IF(AND('331-CT'!$E$7=TH!H1296,OR(L1296="331",M1296="331")),"331",IF(AND(OR(L1296="131",M1296="131"),H1296='131-CT'!$E$7),"131",""))</f>
        <v/>
      </c>
      <c r="O1296" s="857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1">
        <v>3</v>
      </c>
      <c r="AC1296" s="557"/>
      <c r="AD1296" s="557"/>
    </row>
    <row r="1297" spans="1:30" s="211" customFormat="1" ht="15.75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65">
        <v>1363</v>
      </c>
      <c r="L1297" s="566" t="s">
        <v>9</v>
      </c>
      <c r="M1297" s="566" t="s">
        <v>24</v>
      </c>
      <c r="N1297" s="52" t="str">
        <f>IF(AND('331-CT'!$E$7=TH!H1297,OR(L1297="331",M1297="331")),"331",IF(AND(OR(L1297="131",M1297="131"),H1297='131-CT'!$E$7),"131",""))</f>
        <v/>
      </c>
      <c r="O1297" s="857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1">
        <v>3</v>
      </c>
      <c r="AC1297" s="557"/>
    </row>
    <row r="1298" spans="1:30" s="211" customFormat="1" ht="15.75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65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57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2"/>
      <c r="AC1298" s="557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65">
        <v>10000000</v>
      </c>
      <c r="L1299" s="194" t="s">
        <v>8</v>
      </c>
      <c r="M1299" s="566" t="s">
        <v>24</v>
      </c>
      <c r="N1299" s="52" t="str">
        <f>IF(AND('331-CT'!$E$7=TH!H1299,OR(L1299="331",M1299="331")),"331",IF(AND(OR(L1299="131",M1299="131"),H1299='131-CT'!$E$7),"131",""))</f>
        <v/>
      </c>
      <c r="O1299" s="857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2"/>
      <c r="AC1299" s="557"/>
      <c r="AD1299" s="557"/>
    </row>
    <row r="1300" spans="1:30" s="211" customFormat="1" ht="15.75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65">
        <v>13637</v>
      </c>
      <c r="L1300" s="566" t="s">
        <v>83</v>
      </c>
      <c r="M1300" s="566" t="s">
        <v>24</v>
      </c>
      <c r="N1300" s="52" t="str">
        <f>IF(AND('331-CT'!$E$7=TH!H1300,OR(L1300="331",M1300="331")),"331",IF(AND(OR(L1300="131",M1300="131"),H1300='131-CT'!$E$7),"131",""))</f>
        <v/>
      </c>
      <c r="O1300" s="857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1">
        <v>3</v>
      </c>
      <c r="AC1300" s="557"/>
    </row>
    <row r="1301" spans="1:30" s="211" customFormat="1" ht="15.75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65">
        <v>1363</v>
      </c>
      <c r="L1301" s="566" t="s">
        <v>9</v>
      </c>
      <c r="M1301" s="566" t="s">
        <v>24</v>
      </c>
      <c r="N1301" s="52" t="str">
        <f>IF(AND('331-CT'!$E$7=TH!H1301,OR(L1301="331",M1301="331")),"331",IF(AND(OR(L1301="131",M1301="131"),H1301='131-CT'!$E$7),"131",""))</f>
        <v/>
      </c>
      <c r="O1301" s="857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1">
        <v>3</v>
      </c>
      <c r="AC1301" s="557"/>
      <c r="AD1301" s="557"/>
    </row>
    <row r="1302" spans="1:30" s="211" customFormat="1" ht="15.75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65">
        <v>13637</v>
      </c>
      <c r="L1302" s="566" t="s">
        <v>83</v>
      </c>
      <c r="M1302" s="566" t="s">
        <v>24</v>
      </c>
      <c r="N1302" s="52" t="str">
        <f>IF(AND('331-CT'!$E$7=TH!H1302,OR(L1302="331",M1302="331")),"331",IF(AND(OR(L1302="131",M1302="131"),H1302='131-CT'!$E$7),"131",""))</f>
        <v/>
      </c>
      <c r="O1302" s="857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1">
        <v>3</v>
      </c>
      <c r="AC1302" s="557"/>
    </row>
    <row r="1303" spans="1:30" s="211" customFormat="1" ht="15.75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65">
        <v>1363</v>
      </c>
      <c r="L1303" s="566" t="s">
        <v>9</v>
      </c>
      <c r="M1303" s="566" t="s">
        <v>24</v>
      </c>
      <c r="N1303" s="52" t="str">
        <f>IF(AND('331-CT'!$E$7=TH!H1303,OR(L1303="331",M1303="331")),"331",IF(AND(OR(L1303="131",M1303="131"),H1303='131-CT'!$E$7),"131",""))</f>
        <v/>
      </c>
      <c r="O1303" s="857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1">
        <v>3</v>
      </c>
      <c r="AC1303" s="557"/>
      <c r="AD1303" s="557"/>
    </row>
    <row r="1304" spans="1:30" s="211" customFormat="1" ht="15.75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65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57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2"/>
      <c r="AC1304" s="557"/>
      <c r="AD1304" s="557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65">
        <v>13224860</v>
      </c>
      <c r="L1305" s="194" t="s">
        <v>8</v>
      </c>
      <c r="M1305" s="566" t="s">
        <v>24</v>
      </c>
      <c r="N1305" s="52" t="str">
        <f>IF(AND('331-CT'!$E$7=TH!H1305,OR(L1305="331",M1305="331")),"331",IF(AND(OR(L1305="131",M1305="131"),H1305='131-CT'!$E$7),"131",""))</f>
        <v/>
      </c>
      <c r="O1305" s="857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2"/>
      <c r="AC1305" s="557"/>
    </row>
    <row r="1306" spans="1:30" s="211" customFormat="1" ht="15.75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65">
        <v>9091</v>
      </c>
      <c r="L1306" s="566" t="s">
        <v>83</v>
      </c>
      <c r="M1306" s="566" t="s">
        <v>24</v>
      </c>
      <c r="N1306" s="52" t="str">
        <f>IF(AND('331-CT'!$E$7=TH!H1306,OR(L1306="331",M1306="331")),"331",IF(AND(OR(L1306="131",M1306="131"),H1306='131-CT'!$E$7),"131",""))</f>
        <v/>
      </c>
      <c r="O1306" s="857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1">
        <v>3</v>
      </c>
      <c r="AC1306" s="557"/>
      <c r="AD1306" s="557"/>
    </row>
    <row r="1307" spans="1:30" s="211" customFormat="1" ht="15.75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65">
        <v>909</v>
      </c>
      <c r="L1307" s="566" t="s">
        <v>9</v>
      </c>
      <c r="M1307" s="566" t="s">
        <v>24</v>
      </c>
      <c r="N1307" s="52" t="str">
        <f>IF(AND('331-CT'!$E$7=TH!H1307,OR(L1307="331",M1307="331")),"331",IF(AND(OR(L1307="131",M1307="131"),H1307='131-CT'!$E$7),"131",""))</f>
        <v/>
      </c>
      <c r="O1307" s="857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1">
        <v>3</v>
      </c>
      <c r="AC1307" s="557"/>
    </row>
    <row r="1308" spans="1:30" s="211" customFormat="1" ht="15.75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65">
        <v>13637</v>
      </c>
      <c r="L1308" s="566" t="s">
        <v>83</v>
      </c>
      <c r="M1308" s="566" t="s">
        <v>24</v>
      </c>
      <c r="N1308" s="52" t="str">
        <f>IF(AND('331-CT'!$E$7=TH!H1308,OR(L1308="331",M1308="331")),"331",IF(AND(OR(L1308="131",M1308="131"),H1308='131-CT'!$E$7),"131",""))</f>
        <v/>
      </c>
      <c r="O1308" s="857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1">
        <v>3</v>
      </c>
      <c r="AC1308" s="557"/>
      <c r="AD1308" s="557"/>
    </row>
    <row r="1309" spans="1:30" s="211" customFormat="1" ht="15.75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65">
        <v>1363</v>
      </c>
      <c r="L1309" s="566" t="s">
        <v>9</v>
      </c>
      <c r="M1309" s="566" t="s">
        <v>24</v>
      </c>
      <c r="N1309" s="52" t="str">
        <f>IF(AND('331-CT'!$E$7=TH!H1309,OR(L1309="331",M1309="331")),"331",IF(AND(OR(L1309="131",M1309="131"),H1309='131-CT'!$E$7),"131",""))</f>
        <v/>
      </c>
      <c r="O1309" s="857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1">
        <v>3</v>
      </c>
      <c r="AC1309" s="557"/>
    </row>
    <row r="1310" spans="1:30" s="211" customFormat="1" ht="15.75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65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57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2"/>
      <c r="AC1310" s="557" t="str">
        <f>IF(VLOOKUP(H1310,DS_131,1,0)=H1310,"","x")</f>
        <v/>
      </c>
    </row>
    <row r="1311" spans="1:30" s="211" customFormat="1" ht="15.75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65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57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2"/>
      <c r="AC1311" s="557" t="str">
        <f>IF(VLOOKUP(H1311,DS_131,1,0)=H1311,"","x")</f>
        <v/>
      </c>
      <c r="AD1311" s="557"/>
    </row>
    <row r="1312" spans="1:30" s="211" customFormat="1" ht="15.75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1318</v>
      </c>
      <c r="H1312" s="193" t="s">
        <v>705</v>
      </c>
      <c r="I1312" s="256"/>
      <c r="J1312" s="256"/>
      <c r="K1312" s="565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57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2"/>
      <c r="AC1312" s="557"/>
      <c r="AD1312" s="557"/>
    </row>
    <row r="1313" spans="1:33" s="211" customFormat="1" ht="15.75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65">
        <v>46300000</v>
      </c>
      <c r="L1313" s="566" t="s">
        <v>47</v>
      </c>
      <c r="M1313" s="566" t="s">
        <v>24</v>
      </c>
      <c r="N1313" s="52" t="str">
        <f>IF(AND('331-CT'!$E$7=TH!H1313,OR(L1313="331",M1313="331")),"331",IF(AND(OR(L1313="131",M1313="131"),H1313='131-CT'!$E$7),"131",""))</f>
        <v/>
      </c>
      <c r="O1313" s="857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2"/>
      <c r="AC1313" s="557"/>
      <c r="AD1313" s="557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65">
        <v>5000000</v>
      </c>
      <c r="L1314" s="194" t="s">
        <v>8</v>
      </c>
      <c r="M1314" s="566" t="s">
        <v>24</v>
      </c>
      <c r="N1314" s="52" t="str">
        <f>IF(AND('331-CT'!$E$7=TH!H1314,OR(L1314="331",M1314="331")),"331",IF(AND(OR(L1314="131",M1314="131"),H1314='131-CT'!$E$7),"131",""))</f>
        <v/>
      </c>
      <c r="O1314" s="857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2"/>
      <c r="AC1314" s="557"/>
    </row>
    <row r="1315" spans="1:33" s="211" customFormat="1" ht="15.75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65">
        <v>13637</v>
      </c>
      <c r="L1315" s="566" t="s">
        <v>83</v>
      </c>
      <c r="M1315" s="566" t="s">
        <v>24</v>
      </c>
      <c r="N1315" s="52" t="str">
        <f>IF(AND('331-CT'!$E$7=TH!H1315,OR(L1315="331",M1315="331")),"331",IF(AND(OR(L1315="131",M1315="131"),H1315='131-CT'!$E$7),"131",""))</f>
        <v/>
      </c>
      <c r="O1315" s="857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1">
        <v>3</v>
      </c>
      <c r="AC1315" s="557"/>
      <c r="AD1315" s="557"/>
    </row>
    <row r="1316" spans="1:33" s="211" customFormat="1" ht="15.75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65">
        <v>1363</v>
      </c>
      <c r="L1316" s="566" t="s">
        <v>9</v>
      </c>
      <c r="M1316" s="566" t="s">
        <v>24</v>
      </c>
      <c r="N1316" s="52" t="str">
        <f>IF(AND('331-CT'!$E$7=TH!H1316,OR(L1316="331",M1316="331")),"331",IF(AND(OR(L1316="131",M1316="131"),H1316='131-CT'!$E$7),"131",""))</f>
        <v/>
      </c>
      <c r="O1316" s="857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1">
        <v>3</v>
      </c>
      <c r="AC1316" s="557"/>
    </row>
    <row r="1317" spans="1:33" s="211" customFormat="1" ht="15.75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65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57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2"/>
      <c r="AC1317" s="557" t="str">
        <f>IF(VLOOKUP(H1317,DS_131,1,0)=H1317,"","x")</f>
        <v/>
      </c>
      <c r="AD1317" s="557"/>
    </row>
    <row r="1318" spans="1:33" s="211" customFormat="1" ht="15.75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1311</v>
      </c>
      <c r="I1318" s="256"/>
      <c r="J1318" s="256"/>
      <c r="K1318" s="565">
        <v>2020000000</v>
      </c>
      <c r="L1318" s="194" t="s">
        <v>24</v>
      </c>
      <c r="M1318" s="566" t="s">
        <v>47</v>
      </c>
      <c r="N1318" s="52" t="str">
        <f>IF(AND('331-CT'!$E$7=TH!H1318,OR(L1318="331",M1318="331")),"331",IF(AND(OR(L1318="131",M1318="131"),H1318='131-CT'!$E$7),"131",""))</f>
        <v/>
      </c>
      <c r="O1318" s="857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1"/>
      <c r="AC1318" s="557"/>
      <c r="AD1318" s="557"/>
      <c r="AE1318" s="557"/>
      <c r="AF1318" s="557"/>
      <c r="AG1318" s="557"/>
    </row>
    <row r="1319" spans="1:33" s="211" customFormat="1" ht="15.75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1312</v>
      </c>
      <c r="G1319" s="453" t="s">
        <v>787</v>
      </c>
      <c r="H1319" s="193" t="s">
        <v>798</v>
      </c>
      <c r="I1319" s="256"/>
      <c r="J1319" s="256"/>
      <c r="K1319" s="565">
        <v>200000000</v>
      </c>
      <c r="L1319" s="566" t="s">
        <v>786</v>
      </c>
      <c r="M1319" s="566" t="s">
        <v>24</v>
      </c>
      <c r="N1319" s="52" t="str">
        <f>IF(AND('331-CT'!$E$7=TH!H1319,OR(L1319="331",M1319="331")),"331",IF(AND(OR(L1319="131",M1319="131"),H1319='131-CT'!$E$7),"131",""))</f>
        <v/>
      </c>
      <c r="O1319" s="857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1"/>
      <c r="AC1319" s="557"/>
      <c r="AD1319" s="557"/>
      <c r="AE1319" s="557"/>
      <c r="AF1319" s="557"/>
      <c r="AG1319" s="557"/>
    </row>
    <row r="1320" spans="1:33" s="211" customFormat="1" ht="15.75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65">
        <v>1377778</v>
      </c>
      <c r="L1320" s="566" t="s">
        <v>81</v>
      </c>
      <c r="M1320" s="566" t="s">
        <v>24</v>
      </c>
      <c r="N1320" s="52" t="str">
        <f>IF(AND('331-CT'!$E$7=TH!H1320,OR(L1320="331",M1320="331")),"331",IF(AND(OR(L1320="131",M1320="131"),H1320='131-CT'!$E$7),"131",""))</f>
        <v/>
      </c>
      <c r="O1320" s="857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1"/>
      <c r="AC1320" s="557"/>
      <c r="AD1320" s="557"/>
      <c r="AE1320" s="557"/>
      <c r="AF1320" s="557"/>
      <c r="AG1320" s="557"/>
    </row>
    <row r="1321" spans="1:33" s="211" customFormat="1" ht="15.75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1312</v>
      </c>
      <c r="G1321" s="453" t="s">
        <v>787</v>
      </c>
      <c r="H1321" s="193" t="s">
        <v>799</v>
      </c>
      <c r="I1321" s="256"/>
      <c r="J1321" s="256"/>
      <c r="K1321" s="565">
        <v>100000000</v>
      </c>
      <c r="L1321" s="566" t="s">
        <v>786</v>
      </c>
      <c r="M1321" s="566" t="s">
        <v>24</v>
      </c>
      <c r="N1321" s="52" t="str">
        <f>IF(AND('331-CT'!$E$7=TH!H1321,OR(L1321="331",M1321="331")),"331",IF(AND(OR(L1321="131",M1321="131"),H1321='131-CT'!$E$7),"131",""))</f>
        <v/>
      </c>
      <c r="O1321" s="857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1"/>
      <c r="AC1321" s="557"/>
      <c r="AD1321" s="557"/>
      <c r="AE1321" s="557"/>
      <c r="AF1321" s="557"/>
      <c r="AG1321" s="557"/>
    </row>
    <row r="1322" spans="1:33" s="211" customFormat="1" ht="15.75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65">
        <v>775000</v>
      </c>
      <c r="L1322" s="566" t="s">
        <v>81</v>
      </c>
      <c r="M1322" s="566" t="s">
        <v>24</v>
      </c>
      <c r="N1322" s="52" t="str">
        <f>IF(AND('331-CT'!$E$7=TH!H1322,OR(L1322="331",M1322="331")),"331",IF(AND(OR(L1322="131",M1322="131"),H1322='131-CT'!$E$7),"131",""))</f>
        <v/>
      </c>
      <c r="O1322" s="857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1"/>
      <c r="AC1322" s="557"/>
      <c r="AD1322" s="557"/>
      <c r="AE1322" s="557"/>
      <c r="AF1322" s="557"/>
      <c r="AG1322" s="557"/>
    </row>
    <row r="1323" spans="1:33" s="211" customFormat="1" ht="15.75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1312</v>
      </c>
      <c r="G1323" s="453" t="s">
        <v>787</v>
      </c>
      <c r="H1323" s="193" t="s">
        <v>1310</v>
      </c>
      <c r="I1323" s="256"/>
      <c r="J1323" s="256"/>
      <c r="K1323" s="565">
        <v>99149000</v>
      </c>
      <c r="L1323" s="566" t="s">
        <v>786</v>
      </c>
      <c r="M1323" s="566" t="s">
        <v>24</v>
      </c>
      <c r="N1323" s="52" t="str">
        <f>IF(AND('331-CT'!$E$7=TH!H1323,OR(L1323="331",M1323="331")),"331",IF(AND(OR(L1323="131",M1323="131"),H1323='131-CT'!$E$7),"131",""))</f>
        <v/>
      </c>
      <c r="O1323" s="857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1"/>
      <c r="AC1323" s="557"/>
      <c r="AD1323" s="557"/>
      <c r="AE1323" s="557"/>
      <c r="AF1323" s="557"/>
      <c r="AG1323" s="557"/>
    </row>
    <row r="1324" spans="1:33" s="211" customFormat="1" ht="15.75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1310</v>
      </c>
      <c r="I1324" s="256"/>
      <c r="J1324" s="256"/>
      <c r="K1324" s="565">
        <v>1211821</v>
      </c>
      <c r="L1324" s="566" t="s">
        <v>81</v>
      </c>
      <c r="M1324" s="566" t="s">
        <v>24</v>
      </c>
      <c r="N1324" s="52" t="str">
        <f>IF(AND('331-CT'!$E$7=TH!H1324,OR(L1324="331",M1324="331")),"331",IF(AND(OR(L1324="131",M1324="131"),H1324='131-CT'!$E$7),"131",""))</f>
        <v/>
      </c>
      <c r="O1324" s="857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1"/>
      <c r="AC1324" s="557"/>
      <c r="AD1324" s="557"/>
      <c r="AE1324" s="557"/>
      <c r="AF1324" s="557"/>
      <c r="AG1324" s="557"/>
    </row>
    <row r="1325" spans="1:33" s="211" customFormat="1" ht="15.75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1312</v>
      </c>
      <c r="G1325" s="453" t="s">
        <v>787</v>
      </c>
      <c r="H1325" s="193" t="s">
        <v>788</v>
      </c>
      <c r="I1325" s="256"/>
      <c r="J1325" s="256"/>
      <c r="K1325" s="565">
        <v>1334153000</v>
      </c>
      <c r="L1325" s="566" t="s">
        <v>786</v>
      </c>
      <c r="M1325" s="566" t="s">
        <v>24</v>
      </c>
      <c r="N1325" s="52" t="str">
        <f>IF(AND('331-CT'!$E$7=TH!H1325,OR(L1325="331",M1325="331")),"331",IF(AND(OR(L1325="131",M1325="131"),H1325='131-CT'!$E$7),"131",""))</f>
        <v/>
      </c>
      <c r="O1325" s="857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1"/>
      <c r="AC1325" s="557"/>
      <c r="AD1325" s="557"/>
      <c r="AE1325" s="557"/>
      <c r="AF1325" s="557"/>
      <c r="AG1325" s="557"/>
    </row>
    <row r="1326" spans="1:33" s="211" customFormat="1" ht="15.75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65">
        <v>12062967</v>
      </c>
      <c r="L1326" s="566" t="s">
        <v>81</v>
      </c>
      <c r="M1326" s="566" t="s">
        <v>24</v>
      </c>
      <c r="N1326" s="52" t="str">
        <f>IF(AND('331-CT'!$E$7=TH!H1326,OR(L1326="331",M1326="331")),"331",IF(AND(OR(L1326="131",M1326="131"),H1326='131-CT'!$E$7),"131",""))</f>
        <v/>
      </c>
      <c r="O1326" s="857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1"/>
      <c r="AC1326" s="557"/>
      <c r="AD1326" s="557"/>
      <c r="AE1326" s="557"/>
      <c r="AF1326" s="557"/>
      <c r="AG1326" s="557"/>
    </row>
    <row r="1327" spans="1:33" s="211" customFormat="1" ht="15.75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1312</v>
      </c>
      <c r="G1327" s="453" t="s">
        <v>787</v>
      </c>
      <c r="H1327" s="193" t="s">
        <v>794</v>
      </c>
      <c r="I1327" s="256"/>
      <c r="J1327" s="256"/>
      <c r="K1327" s="565">
        <v>264000000</v>
      </c>
      <c r="L1327" s="566" t="s">
        <v>786</v>
      </c>
      <c r="M1327" s="566" t="s">
        <v>24</v>
      </c>
      <c r="N1327" s="52" t="str">
        <f>IF(AND('331-CT'!$E$7=TH!H1327,OR(L1327="331",M1327="331")),"331",IF(AND(OR(L1327="131",M1327="131"),H1327='131-CT'!$E$7),"131",""))</f>
        <v/>
      </c>
      <c r="O1327" s="857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1"/>
      <c r="AC1327" s="557"/>
      <c r="AD1327" s="557"/>
      <c r="AE1327" s="557"/>
      <c r="AF1327" s="557"/>
      <c r="AG1327" s="557"/>
    </row>
    <row r="1328" spans="1:33" s="211" customFormat="1" ht="15.75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65">
        <v>2427906</v>
      </c>
      <c r="L1328" s="566" t="s">
        <v>81</v>
      </c>
      <c r="M1328" s="566" t="s">
        <v>24</v>
      </c>
      <c r="N1328" s="52" t="str">
        <f>IF(AND('331-CT'!$E$7=TH!H1328,OR(L1328="331",M1328="331")),"331",IF(AND(OR(L1328="131",M1328="131"),H1328='131-CT'!$E$7),"131",""))</f>
        <v/>
      </c>
      <c r="O1328" s="857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1"/>
      <c r="AC1328" s="557"/>
      <c r="AD1328" s="557"/>
      <c r="AE1328" s="557"/>
      <c r="AF1328" s="557"/>
      <c r="AG1328" s="557"/>
    </row>
    <row r="1329" spans="1:33" s="211" customFormat="1" ht="15.75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65">
        <v>13500000</v>
      </c>
      <c r="L1329" s="566" t="s">
        <v>47</v>
      </c>
      <c r="M1329" s="566" t="s">
        <v>24</v>
      </c>
      <c r="N1329" s="52" t="str">
        <f>IF(AND('331-CT'!$E$7=TH!H1329,OR(L1329="331",M1329="331")),"331",IF(AND(OR(L1329="131",M1329="131"),H1329='131-CT'!$E$7),"131",""))</f>
        <v/>
      </c>
      <c r="O1329" s="857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2"/>
      <c r="AC1329" s="557"/>
    </row>
    <row r="1330" spans="1:33" s="211" customFormat="1" ht="15.75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1319</v>
      </c>
      <c r="G1330" s="192" t="s">
        <v>1318</v>
      </c>
      <c r="H1330" s="193"/>
      <c r="I1330" s="256"/>
      <c r="J1330" s="256"/>
      <c r="K1330" s="565">
        <v>9546</v>
      </c>
      <c r="L1330" s="566" t="s">
        <v>83</v>
      </c>
      <c r="M1330" s="566" t="s">
        <v>24</v>
      </c>
      <c r="N1330" s="52" t="str">
        <f>IF(AND('331-CT'!$E$7=TH!H1330,OR(L1330="331",M1330="331")),"331",IF(AND(OR(L1330="131",M1330="131"),H1330='131-CT'!$E$7),"131",""))</f>
        <v/>
      </c>
      <c r="O1330" s="857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2">
        <v>3</v>
      </c>
      <c r="AC1330" s="557"/>
      <c r="AD1330" s="557"/>
    </row>
    <row r="1331" spans="1:33" s="211" customFormat="1" ht="15.75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1320</v>
      </c>
      <c r="G1331" s="192" t="s">
        <v>1318</v>
      </c>
      <c r="H1331" s="193"/>
      <c r="I1331" s="256"/>
      <c r="J1331" s="256"/>
      <c r="K1331" s="565">
        <v>954</v>
      </c>
      <c r="L1331" s="566" t="s">
        <v>9</v>
      </c>
      <c r="M1331" s="566" t="s">
        <v>24</v>
      </c>
      <c r="N1331" s="52" t="str">
        <f>IF(AND('331-CT'!$E$7=TH!H1331,OR(L1331="331",M1331="331")),"331",IF(AND(OR(L1331="131",M1331="131"),H1331='131-CT'!$E$7),"131",""))</f>
        <v/>
      </c>
      <c r="O1331" s="857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2">
        <v>3</v>
      </c>
      <c r="AC1331" s="557"/>
      <c r="AD1331" s="557"/>
    </row>
    <row r="1332" spans="1:33" s="211" customFormat="1" ht="15.75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1321</v>
      </c>
      <c r="G1332" s="192" t="s">
        <v>1318</v>
      </c>
      <c r="H1332" s="193" t="s">
        <v>1322</v>
      </c>
      <c r="I1332" s="256"/>
      <c r="J1332" s="256"/>
      <c r="K1332" s="565">
        <v>2400000000</v>
      </c>
      <c r="L1332" s="566" t="s">
        <v>24</v>
      </c>
      <c r="M1332" s="566" t="s">
        <v>790</v>
      </c>
      <c r="N1332" s="52" t="str">
        <f>IF(AND('331-CT'!$E$7=TH!H1332,OR(L1332="331",M1332="331")),"331",IF(AND(OR(L1332="131",M1332="131"),H1332='131-CT'!$E$7),"131",""))</f>
        <v/>
      </c>
      <c r="O1332" s="857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2"/>
      <c r="AC1332" s="557"/>
      <c r="AD1332" s="557"/>
    </row>
    <row r="1333" spans="1:33" s="211" customFormat="1" ht="15.75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1318</v>
      </c>
      <c r="H1333" s="193" t="s">
        <v>703</v>
      </c>
      <c r="I1333" s="256"/>
      <c r="J1333" s="256"/>
      <c r="K1333" s="565">
        <v>2400000000</v>
      </c>
      <c r="L1333" s="566" t="s">
        <v>47</v>
      </c>
      <c r="M1333" s="566" t="s">
        <v>24</v>
      </c>
      <c r="N1333" s="52" t="str">
        <f>IF(AND('331-CT'!$E$7=TH!H1333,OR(L1333="331",M1333="331")),"331",IF(AND(OR(L1333="131",M1333="131"),H1333='131-CT'!$E$7),"131",""))</f>
        <v/>
      </c>
      <c r="O1333" s="857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2"/>
      <c r="AC1333" s="557"/>
      <c r="AD1333" s="557"/>
    </row>
    <row r="1334" spans="1:33" s="211" customFormat="1" ht="15.75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1323</v>
      </c>
      <c r="G1334" s="192" t="s">
        <v>1318</v>
      </c>
      <c r="H1334" s="193"/>
      <c r="I1334" s="256"/>
      <c r="J1334" s="256"/>
      <c r="K1334" s="565">
        <v>218182</v>
      </c>
      <c r="L1334" s="566" t="s">
        <v>83</v>
      </c>
      <c r="M1334" s="566" t="s">
        <v>24</v>
      </c>
      <c r="N1334" s="52" t="str">
        <f>IF(AND('331-CT'!$E$7=TH!H1334,OR(L1334="331",M1334="331")),"331",IF(AND(OR(L1334="131",M1334="131"),H1334='131-CT'!$E$7),"131",""))</f>
        <v/>
      </c>
      <c r="O1334" s="857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2">
        <v>3</v>
      </c>
      <c r="AC1334" s="557"/>
      <c r="AD1334" s="557"/>
    </row>
    <row r="1335" spans="1:33" s="211" customFormat="1" ht="15.75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1324</v>
      </c>
      <c r="G1335" s="192" t="s">
        <v>1318</v>
      </c>
      <c r="H1335" s="193"/>
      <c r="I1335" s="256"/>
      <c r="J1335" s="256"/>
      <c r="K1335" s="565">
        <v>21818</v>
      </c>
      <c r="L1335" s="566" t="s">
        <v>9</v>
      </c>
      <c r="M1335" s="566" t="s">
        <v>24</v>
      </c>
      <c r="N1335" s="52" t="str">
        <f>IF(AND('331-CT'!$E$7=TH!H1335,OR(L1335="331",M1335="331")),"331",IF(AND(OR(L1335="131",M1335="131"),H1335='131-CT'!$E$7),"131",""))</f>
        <v/>
      </c>
      <c r="O1335" s="857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2">
        <v>3</v>
      </c>
      <c r="AC1335" s="557"/>
      <c r="AD1335" s="557"/>
    </row>
    <row r="1336" spans="1:33" s="211" customFormat="1" ht="15.75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65">
        <v>4500000</v>
      </c>
      <c r="L1336" s="566" t="s">
        <v>47</v>
      </c>
      <c r="M1336" s="566" t="s">
        <v>24</v>
      </c>
      <c r="N1336" s="52" t="str">
        <f>IF(AND('331-CT'!$E$7=TH!H1336,OR(L1336="331",M1336="331")),"331",IF(AND(OR(L1336="131",M1336="131"),H1336='131-CT'!$E$7),"131",""))</f>
        <v/>
      </c>
      <c r="O1336" s="857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1"/>
      <c r="AC1336" s="557"/>
      <c r="AD1336" s="557"/>
      <c r="AE1336" s="557"/>
      <c r="AF1336" s="557"/>
      <c r="AG1336" s="557"/>
    </row>
    <row r="1337" spans="1:33" s="211" customFormat="1" ht="15.75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1216</v>
      </c>
      <c r="E1337" s="184">
        <v>42604</v>
      </c>
      <c r="F1337" s="192" t="s">
        <v>1276</v>
      </c>
      <c r="G1337" s="453" t="s">
        <v>1277</v>
      </c>
      <c r="H1337" s="7" t="s">
        <v>886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57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2">
        <v>3</v>
      </c>
      <c r="AC1337" s="557"/>
      <c r="AD1337" s="211" t="str">
        <f>IF(VLOOKUP(H1337,DSKH,1,0)=H1337,"","x")</f>
        <v/>
      </c>
    </row>
    <row r="1338" spans="1:33" s="211" customFormat="1" ht="15.75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1216</v>
      </c>
      <c r="E1338" s="184">
        <v>42604</v>
      </c>
      <c r="F1338" s="189" t="s">
        <v>1278</v>
      </c>
      <c r="G1338" s="453" t="s">
        <v>1277</v>
      </c>
      <c r="H1338" s="7" t="s">
        <v>886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57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2">
        <v>3</v>
      </c>
      <c r="AC1338" s="557"/>
      <c r="AD1338" s="211" t="str">
        <f>IF(VLOOKUP(H1338,DSKH,1,0)=H1338,"","x")</f>
        <v/>
      </c>
    </row>
    <row r="1339" spans="1:33" s="211" customFormat="1" ht="15.75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1216</v>
      </c>
      <c r="E1339" s="184">
        <v>42604</v>
      </c>
      <c r="F1339" s="189" t="s">
        <v>1279</v>
      </c>
      <c r="G1339" s="453" t="s">
        <v>1277</v>
      </c>
      <c r="H1339" s="7" t="s">
        <v>886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57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2">
        <v>3</v>
      </c>
      <c r="AC1339" s="557"/>
      <c r="AD1339" s="211" t="str">
        <f>IF(VLOOKUP(H1339,DSKH,1,0)=H1339,"","x")</f>
        <v/>
      </c>
    </row>
    <row r="1340" spans="1:33" s="211" customFormat="1" ht="15.75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1216</v>
      </c>
      <c r="E1340" s="184">
        <v>42604</v>
      </c>
      <c r="F1340" s="189" t="s">
        <v>887</v>
      </c>
      <c r="G1340" s="453" t="s">
        <v>1277</v>
      </c>
      <c r="H1340" s="7" t="s">
        <v>886</v>
      </c>
      <c r="I1340" s="256"/>
      <c r="J1340" s="256"/>
      <c r="K1340" s="565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57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2">
        <v>3</v>
      </c>
      <c r="AC1340" s="557"/>
      <c r="AD1340" s="211" t="str">
        <f>IF(VLOOKUP(H1340,DSKH,1,0)=H1340,"","x")</f>
        <v/>
      </c>
    </row>
    <row r="1341" spans="1:33" s="211" customFormat="1" ht="15.75" customHeight="1">
      <c r="A1341" s="204" t="str">
        <f>IF(B1341&lt;&gt;"",IF(AND(B1341&gt;=_TM1,B1341&lt;=_TM2,OR(TH!L1653="1111",TH!M1653="1111")),TH!D1653,""),"")</f>
        <v/>
      </c>
      <c r="B1341" s="36">
        <f t="shared" si="62"/>
        <v>8</v>
      </c>
      <c r="C1341" s="184">
        <f t="shared" si="63"/>
        <v>42604</v>
      </c>
      <c r="D1341" s="184" t="s">
        <v>1114</v>
      </c>
      <c r="E1341" s="37">
        <v>42604</v>
      </c>
      <c r="F1341" s="192" t="s">
        <v>459</v>
      </c>
      <c r="G1341" s="456" t="s">
        <v>1290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57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1"/>
      <c r="AC1341" s="557" t="str">
        <f>IF(VLOOKUP(F1341,NXT!$C$35:$C$411,1,0)=F1341,"","x")</f>
        <v/>
      </c>
    </row>
    <row r="1342" spans="1:33" s="211" customFormat="1" ht="15.75" customHeight="1">
      <c r="A1342" s="204" t="str">
        <f>IF(B1342&lt;&gt;"",IF(AND(B1342&gt;=_TM1,B1342&lt;=_TM2,OR(TH!L1654="1111",TH!M1654="1111")),TH!D1654,""),"")</f>
        <v/>
      </c>
      <c r="B1342" s="36">
        <f t="shared" si="62"/>
        <v>8</v>
      </c>
      <c r="C1342" s="184">
        <f t="shared" si="63"/>
        <v>42604</v>
      </c>
      <c r="D1342" s="184" t="s">
        <v>1114</v>
      </c>
      <c r="E1342" s="37">
        <v>42604</v>
      </c>
      <c r="F1342" s="40" t="s">
        <v>1285</v>
      </c>
      <c r="G1342" s="456" t="s">
        <v>1290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57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1"/>
      <c r="AC1342" s="557" t="str">
        <f>IF(VLOOKUP(H1342,DS_131,1,0)=H1342,"","x")</f>
        <v/>
      </c>
      <c r="AD1342" s="557"/>
    </row>
    <row r="1343" spans="1:33" s="211" customFormat="1" ht="15.75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65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57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2"/>
      <c r="AC1343" s="557" t="str">
        <f>IF(VLOOKUP(H1343,DS_131,1,0)=H1343,"","x")</f>
        <v/>
      </c>
    </row>
    <row r="1344" spans="1:33" s="211" customFormat="1" ht="15.75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65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57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2"/>
      <c r="AC1344" s="557" t="str">
        <f>IF(VLOOKUP(H1344,DS_131,1,0)=H1344,"","x")</f>
        <v/>
      </c>
    </row>
    <row r="1345" spans="1:33" s="211" customFormat="1" ht="15.75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65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57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2"/>
      <c r="AC1345" s="557" t="str">
        <f>IF(VLOOKUP(H1345,DS_131,1,0)=H1345,"","x")</f>
        <v/>
      </c>
      <c r="AD1345" s="557"/>
    </row>
    <row r="1346" spans="1:33" s="211" customFormat="1" ht="15.75" customHeight="1">
      <c r="A1346" s="204" t="str">
        <f>IF(B1346&lt;&gt;"",IF(AND(B1346&gt;=_TM1,B1346&lt;=_TM2,OR(TH!L1655="1111",TH!M1655="1111")),TH!D1655,""),"")</f>
        <v/>
      </c>
      <c r="B1346" s="36">
        <f t="shared" si="64"/>
        <v>8</v>
      </c>
      <c r="C1346" s="184">
        <f t="shared" si="63"/>
        <v>42605</v>
      </c>
      <c r="D1346" s="184" t="s">
        <v>1115</v>
      </c>
      <c r="E1346" s="37">
        <v>42605</v>
      </c>
      <c r="F1346" s="40" t="s">
        <v>1293</v>
      </c>
      <c r="G1346" s="456" t="s">
        <v>1291</v>
      </c>
      <c r="H1346" s="193" t="s">
        <v>1292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57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1"/>
      <c r="AC1346" s="557" t="str">
        <f>IF(VLOOKUP(F1346,NXT!$C$35:$C$411,1,0)=F1346,"","x")</f>
        <v/>
      </c>
    </row>
    <row r="1347" spans="1:33" s="211" customFormat="1" ht="15.75" customHeight="1">
      <c r="A1347" s="204" t="str">
        <f>IF(B1347&lt;&gt;"",IF(AND(B1347&gt;=_TM1,B1347&lt;=_TM2,OR(TH!L1656="1111",TH!M1656="1111")),TH!D1656,""),"")</f>
        <v/>
      </c>
      <c r="B1347" s="36">
        <f t="shared" si="64"/>
        <v>8</v>
      </c>
      <c r="C1347" s="184">
        <f t="shared" si="63"/>
        <v>42605</v>
      </c>
      <c r="D1347" s="184" t="s">
        <v>1115</v>
      </c>
      <c r="E1347" s="37">
        <v>42605</v>
      </c>
      <c r="F1347" s="40" t="s">
        <v>1294</v>
      </c>
      <c r="G1347" s="456" t="s">
        <v>1291</v>
      </c>
      <c r="H1347" s="193" t="s">
        <v>1292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57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1"/>
      <c r="AC1347" s="557" t="str">
        <f>IF(VLOOKUP(F1347,NXT!$C$35:$C$411,1,0)=F1347,"","x")</f>
        <v/>
      </c>
      <c r="AD1347" s="557"/>
    </row>
    <row r="1348" spans="1:33" s="211" customFormat="1" ht="15.75" customHeight="1">
      <c r="A1348" s="204" t="str">
        <f>IF(B1348&lt;&gt;"",IF(AND(B1348&gt;=_TM1,B1348&lt;=_TM2,OR(TH!L1657="1111",TH!M1657="1111")),TH!D1657,""),"")</f>
        <v/>
      </c>
      <c r="B1348" s="36">
        <f t="shared" si="64"/>
        <v>8</v>
      </c>
      <c r="C1348" s="184">
        <f t="shared" si="63"/>
        <v>42605</v>
      </c>
      <c r="D1348" s="184" t="s">
        <v>1115</v>
      </c>
      <c r="E1348" s="37">
        <v>42605</v>
      </c>
      <c r="F1348" s="40" t="s">
        <v>1285</v>
      </c>
      <c r="G1348" s="456" t="s">
        <v>1291</v>
      </c>
      <c r="H1348" s="193" t="s">
        <v>1292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57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1"/>
      <c r="AC1348" s="557" t="str">
        <f>IF(VLOOKUP(H1348,DS_131,1,0)=H1348,"","x")</f>
        <v/>
      </c>
      <c r="AD1348" s="557"/>
    </row>
    <row r="1349" spans="1:33" s="211" customFormat="1" ht="15.75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65">
        <v>8800000</v>
      </c>
      <c r="L1349" s="566" t="s">
        <v>47</v>
      </c>
      <c r="M1349" s="566" t="s">
        <v>24</v>
      </c>
      <c r="N1349" s="52" t="str">
        <f>IF(AND('331-CT'!$E$7=TH!H1349,OR(L1349="331",M1349="331")),"331",IF(AND(OR(L1349="131",M1349="131"),H1349='131-CT'!$E$7),"131",""))</f>
        <v/>
      </c>
      <c r="O1349" s="857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2"/>
      <c r="AC1349" s="557"/>
      <c r="AD1349" s="557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65">
        <v>30000000</v>
      </c>
      <c r="L1350" s="194" t="s">
        <v>8</v>
      </c>
      <c r="M1350" s="566" t="s">
        <v>24</v>
      </c>
      <c r="N1350" s="52" t="str">
        <f>IF(AND('331-CT'!$E$7=TH!H1350,OR(L1350="331",M1350="331")),"331",IF(AND(OR(L1350="131",M1350="131"),H1350='131-CT'!$E$7),"131",""))</f>
        <v/>
      </c>
      <c r="O1350" s="857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2"/>
      <c r="AC1350" s="557"/>
    </row>
    <row r="1351" spans="1:33" s="211" customFormat="1" ht="15.75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65">
        <v>13637</v>
      </c>
      <c r="L1351" s="566" t="s">
        <v>83</v>
      </c>
      <c r="M1351" s="566" t="s">
        <v>24</v>
      </c>
      <c r="N1351" s="52" t="str">
        <f>IF(AND('331-CT'!$E$7=TH!H1351,OR(L1351="331",M1351="331")),"331",IF(AND(OR(L1351="131",M1351="131"),H1351='131-CT'!$E$7),"131",""))</f>
        <v/>
      </c>
      <c r="O1351" s="857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1">
        <v>3</v>
      </c>
      <c r="AC1351" s="557"/>
      <c r="AD1351" s="557"/>
    </row>
    <row r="1352" spans="1:33" s="211" customFormat="1" ht="15.75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65">
        <v>1363</v>
      </c>
      <c r="L1352" s="566" t="s">
        <v>9</v>
      </c>
      <c r="M1352" s="566" t="s">
        <v>24</v>
      </c>
      <c r="N1352" s="52" t="str">
        <f>IF(AND('331-CT'!$E$7=TH!H1352,OR(L1352="331",M1352="331")),"331",IF(AND(OR(L1352="131",M1352="131"),H1352='131-CT'!$E$7),"131",""))</f>
        <v/>
      </c>
      <c r="O1352" s="857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1">
        <v>3</v>
      </c>
      <c r="AC1352" s="557"/>
    </row>
    <row r="1353" spans="1:33" s="211" customFormat="1" ht="15.75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1321</v>
      </c>
      <c r="G1353" s="192" t="s">
        <v>1318</v>
      </c>
      <c r="H1353" s="193" t="s">
        <v>1325</v>
      </c>
      <c r="I1353" s="256"/>
      <c r="J1353" s="256"/>
      <c r="K1353" s="565">
        <v>100000000</v>
      </c>
      <c r="L1353" s="566" t="s">
        <v>24</v>
      </c>
      <c r="M1353" s="566" t="s">
        <v>790</v>
      </c>
      <c r="N1353" s="52" t="str">
        <f>IF(AND('331-CT'!$E$7=TH!H1353,OR(L1353="331",M1353="331")),"331",IF(AND(OR(L1353="131",M1353="131"),H1353='131-CT'!$E$7),"131",""))</f>
        <v/>
      </c>
      <c r="O1353" s="857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2"/>
      <c r="AC1353" s="557"/>
      <c r="AD1353" s="557"/>
    </row>
    <row r="1354" spans="1:33" s="211" customFormat="1" ht="15.75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1318</v>
      </c>
      <c r="H1354" s="193"/>
      <c r="I1354" s="256"/>
      <c r="J1354" s="256"/>
      <c r="K1354" s="565">
        <v>63637</v>
      </c>
      <c r="L1354" s="566" t="s">
        <v>83</v>
      </c>
      <c r="M1354" s="566" t="s">
        <v>24</v>
      </c>
      <c r="N1354" s="52" t="str">
        <f>IF(AND('331-CT'!$E$7=TH!H1354,OR(L1354="331",M1354="331")),"331",IF(AND(OR(L1354="131",M1354="131"),H1354='131-CT'!$E$7),"131",""))</f>
        <v/>
      </c>
      <c r="O1354" s="857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2">
        <v>3</v>
      </c>
      <c r="AC1354" s="557"/>
      <c r="AD1354" s="557"/>
    </row>
    <row r="1355" spans="1:33" s="211" customFormat="1" ht="15.75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1318</v>
      </c>
      <c r="H1355" s="193"/>
      <c r="I1355" s="256"/>
      <c r="J1355" s="256"/>
      <c r="K1355" s="565">
        <v>6363</v>
      </c>
      <c r="L1355" s="566" t="s">
        <v>9</v>
      </c>
      <c r="M1355" s="566" t="s">
        <v>24</v>
      </c>
      <c r="N1355" s="52" t="str">
        <f>IF(AND('331-CT'!$E$7=TH!H1355,OR(L1355="331",M1355="331")),"331",IF(AND(OR(L1355="131",M1355="131"),H1355='131-CT'!$E$7),"131",""))</f>
        <v/>
      </c>
      <c r="O1355" s="857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2">
        <v>3</v>
      </c>
      <c r="AC1355" s="557"/>
      <c r="AD1355" s="557"/>
    </row>
    <row r="1356" spans="1:33" s="211" customFormat="1" ht="15.75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1318</v>
      </c>
      <c r="H1356" s="193" t="s">
        <v>705</v>
      </c>
      <c r="I1356" s="256"/>
      <c r="J1356" s="256"/>
      <c r="K1356" s="565">
        <v>100000000</v>
      </c>
      <c r="L1356" s="566" t="s">
        <v>47</v>
      </c>
      <c r="M1356" s="566" t="s">
        <v>24</v>
      </c>
      <c r="N1356" s="52" t="str">
        <f>IF(AND('331-CT'!$E$7=TH!H1356,OR(L1356="331",M1356="331")),"331",IF(AND(OR(L1356="131",M1356="131"),H1356='131-CT'!$E$7),"131",""))</f>
        <v/>
      </c>
      <c r="O1356" s="857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2"/>
      <c r="AC1356" s="557"/>
      <c r="AD1356" s="557"/>
    </row>
    <row r="1357" spans="1:33" s="211" customFormat="1" ht="15.75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1323</v>
      </c>
      <c r="G1357" s="192" t="s">
        <v>1318</v>
      </c>
      <c r="H1357" s="193"/>
      <c r="I1357" s="256"/>
      <c r="J1357" s="256"/>
      <c r="K1357" s="565">
        <v>9091</v>
      </c>
      <c r="L1357" s="566" t="s">
        <v>83</v>
      </c>
      <c r="M1357" s="566" t="s">
        <v>24</v>
      </c>
      <c r="N1357" s="52" t="str">
        <f>IF(AND('331-CT'!$E$7=TH!H1357,OR(L1357="331",M1357="331")),"331",IF(AND(OR(L1357="131",M1357="131"),H1357='131-CT'!$E$7),"131",""))</f>
        <v/>
      </c>
      <c r="O1357" s="857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2">
        <v>3</v>
      </c>
      <c r="AC1357" s="557"/>
      <c r="AD1357" s="557"/>
    </row>
    <row r="1358" spans="1:33" s="211" customFormat="1" ht="15.75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1324</v>
      </c>
      <c r="G1358" s="192" t="s">
        <v>1318</v>
      </c>
      <c r="H1358" s="193"/>
      <c r="I1358" s="256"/>
      <c r="J1358" s="256"/>
      <c r="K1358" s="565">
        <v>909</v>
      </c>
      <c r="L1358" s="566" t="s">
        <v>9</v>
      </c>
      <c r="M1358" s="566" t="s">
        <v>24</v>
      </c>
      <c r="N1358" s="52" t="str">
        <f>IF(AND('331-CT'!$E$7=TH!H1358,OR(L1358="331",M1358="331")),"331",IF(AND(OR(L1358="131",M1358="131"),H1358='131-CT'!$E$7),"131",""))</f>
        <v/>
      </c>
      <c r="O1358" s="857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2">
        <v>3</v>
      </c>
      <c r="AC1358" s="557"/>
      <c r="AD1358" s="557"/>
    </row>
    <row r="1359" spans="1:33" s="211" customFormat="1" ht="15.75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65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57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2"/>
      <c r="AC1359" s="557"/>
    </row>
    <row r="1360" spans="1:33" s="211" customFormat="1" ht="15.75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65">
        <v>50000</v>
      </c>
      <c r="L1360" s="566" t="s">
        <v>83</v>
      </c>
      <c r="M1360" s="566" t="s">
        <v>24</v>
      </c>
      <c r="N1360" s="52" t="str">
        <f>IF(AND('331-CT'!$E$7=TH!H1360,OR(L1360="331",M1360="331")),"331",IF(AND(OR(L1360="131",M1360="131"),H1360='131-CT'!$E$7),"131",""))</f>
        <v/>
      </c>
      <c r="O1360" s="857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1">
        <v>3</v>
      </c>
      <c r="AC1360" s="557"/>
      <c r="AD1360" s="557"/>
      <c r="AE1360" s="557"/>
      <c r="AF1360" s="557"/>
      <c r="AG1360" s="557"/>
    </row>
    <row r="1361" spans="1:33" s="211" customFormat="1" ht="15.75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65">
        <v>5000</v>
      </c>
      <c r="L1361" s="566" t="s">
        <v>9</v>
      </c>
      <c r="M1361" s="566" t="s">
        <v>24</v>
      </c>
      <c r="N1361" s="52" t="str">
        <f>IF(AND('331-CT'!$E$7=TH!H1361,OR(L1361="331",M1361="331")),"331",IF(AND(OR(L1361="131",M1361="131"),H1361='131-CT'!$E$7),"131",""))</f>
        <v/>
      </c>
      <c r="O1361" s="857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1">
        <v>3</v>
      </c>
      <c r="AC1361" s="557"/>
      <c r="AD1361" s="557"/>
      <c r="AE1361" s="557"/>
      <c r="AF1361" s="557"/>
      <c r="AG1361" s="557"/>
    </row>
    <row r="1362" spans="1:33" s="211" customFormat="1" ht="15.75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65">
        <v>525207</v>
      </c>
      <c r="L1362" s="566" t="s">
        <v>47</v>
      </c>
      <c r="M1362" s="566" t="s">
        <v>24</v>
      </c>
      <c r="N1362" s="52" t="str">
        <f>IF(AND('331-CT'!$E$7=TH!H1362,OR(L1362="331",M1362="331")),"331",IF(AND(OR(L1362="131",M1362="131"),H1362='131-CT'!$E$7),"131",""))</f>
        <v/>
      </c>
      <c r="O1362" s="857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1"/>
      <c r="AC1362" s="557"/>
      <c r="AD1362" s="557"/>
      <c r="AE1362" s="557"/>
      <c r="AF1362" s="557"/>
      <c r="AG1362" s="557"/>
    </row>
    <row r="1363" spans="1:33" s="211" customFormat="1" ht="15.75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1217</v>
      </c>
      <c r="E1363" s="184">
        <v>42608</v>
      </c>
      <c r="F1363" s="189" t="s">
        <v>1278</v>
      </c>
      <c r="G1363" s="453" t="s">
        <v>1280</v>
      </c>
      <c r="H1363" s="7" t="s">
        <v>886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57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2">
        <v>3</v>
      </c>
      <c r="AC1363" s="557"/>
      <c r="AD1363" s="211" t="str">
        <f>IF(VLOOKUP(H1363,DSKH,1,0)=H1363,"","x")</f>
        <v/>
      </c>
    </row>
    <row r="1364" spans="1:33" s="211" customFormat="1" ht="15.75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1217</v>
      </c>
      <c r="E1364" s="184">
        <v>42608</v>
      </c>
      <c r="F1364" s="189" t="s">
        <v>1281</v>
      </c>
      <c r="G1364" s="453" t="s">
        <v>1280</v>
      </c>
      <c r="H1364" s="7" t="s">
        <v>886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57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2">
        <v>3</v>
      </c>
      <c r="AC1364" s="557"/>
      <c r="AD1364" s="211" t="str">
        <f>IF(VLOOKUP(H1364,DSKH,1,0)=H1364,"","x")</f>
        <v/>
      </c>
    </row>
    <row r="1365" spans="1:33" s="211" customFormat="1" ht="15.75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1217</v>
      </c>
      <c r="E1365" s="184">
        <v>42608</v>
      </c>
      <c r="F1365" s="189" t="s">
        <v>887</v>
      </c>
      <c r="G1365" s="453" t="s">
        <v>1280</v>
      </c>
      <c r="H1365" s="7" t="s">
        <v>886</v>
      </c>
      <c r="I1365" s="256"/>
      <c r="J1365" s="256"/>
      <c r="K1365" s="565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57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2">
        <v>3</v>
      </c>
      <c r="AC1365" s="557"/>
      <c r="AD1365" s="211" t="str">
        <f>IF(VLOOKUP(H1365,DSKH,1,0)=H1365,"","x")</f>
        <v/>
      </c>
    </row>
    <row r="1366" spans="1:33" s="211" customFormat="1" ht="15.75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49" t="s">
        <v>808</v>
      </c>
      <c r="I1366" s="256"/>
      <c r="J1366" s="256"/>
      <c r="K1366" s="565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57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2"/>
      <c r="AC1366" s="557" t="str">
        <f>IF(VLOOKUP(H1366,DS_131,1,0)=H1366,"","x")</f>
        <v/>
      </c>
      <c r="AD1366" s="557"/>
    </row>
    <row r="1367" spans="1:33" s="211" customFormat="1" ht="15.75" customHeight="1">
      <c r="A1367" s="204" t="str">
        <f>IF(B1367&lt;&gt;"",IF(AND(B1367&gt;=_TM1,B1367&lt;=_TM2,OR(TH!L1658="1111",TH!M1658="1111")),TH!D1658,""),"")</f>
        <v/>
      </c>
      <c r="B1367" s="36">
        <f t="shared" si="64"/>
        <v>8</v>
      </c>
      <c r="C1367" s="184">
        <f t="shared" si="63"/>
        <v>42612</v>
      </c>
      <c r="D1367" s="184" t="s">
        <v>1116</v>
      </c>
      <c r="E1367" s="37">
        <v>42612</v>
      </c>
      <c r="F1367" s="40" t="s">
        <v>1286</v>
      </c>
      <c r="G1367" s="456" t="s">
        <v>1295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57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1"/>
      <c r="AC1367" s="557" t="str">
        <f>IF(VLOOKUP(F1367,NXT!$C$35:$C$411,1,0)=F1367,"","x")</f>
        <v/>
      </c>
    </row>
    <row r="1368" spans="1:33" s="211" customFormat="1" ht="15.75" customHeight="1">
      <c r="A1368" s="204" t="str">
        <f>IF(B1368&lt;&gt;"",IF(AND(B1368&gt;=_TM1,B1368&lt;=_TM2,OR(TH!L1659="1111",TH!M1659="1111")),TH!D1659,""),"")</f>
        <v/>
      </c>
      <c r="B1368" s="36">
        <f t="shared" si="64"/>
        <v>8</v>
      </c>
      <c r="C1368" s="184">
        <f t="shared" si="63"/>
        <v>42612</v>
      </c>
      <c r="D1368" s="184" t="s">
        <v>1116</v>
      </c>
      <c r="E1368" s="37">
        <v>42612</v>
      </c>
      <c r="F1368" s="40" t="s">
        <v>1287</v>
      </c>
      <c r="G1368" s="456" t="s">
        <v>1295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57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1"/>
      <c r="AC1368" s="557" t="str">
        <f>IF(VLOOKUP(F1368,NXT!$C$35:$C$411,1,0)=F1368,"","x")</f>
        <v/>
      </c>
      <c r="AD1368" s="557"/>
    </row>
    <row r="1369" spans="1:33" s="211" customFormat="1" ht="15.75" customHeight="1">
      <c r="A1369" s="204" t="str">
        <f>IF(B1369&lt;&gt;"",IF(AND(B1369&gt;=_TM1,B1369&lt;=_TM2,OR(TH!L1660="1111",TH!M1660="1111")),TH!D1660,""),"")</f>
        <v/>
      </c>
      <c r="B1369" s="36">
        <f t="shared" si="64"/>
        <v>8</v>
      </c>
      <c r="C1369" s="184">
        <f t="shared" si="63"/>
        <v>42612</v>
      </c>
      <c r="D1369" s="184" t="s">
        <v>1116</v>
      </c>
      <c r="E1369" s="37">
        <v>42612</v>
      </c>
      <c r="F1369" s="40" t="s">
        <v>471</v>
      </c>
      <c r="G1369" s="456" t="s">
        <v>1295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57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1"/>
      <c r="AC1369" s="557" t="str">
        <f>IF(VLOOKUP(F1369,NXT!$C$35:$C$411,1,0)=F1369,"","x")</f>
        <v/>
      </c>
      <c r="AD1369" s="557"/>
    </row>
    <row r="1370" spans="1:33" s="211" customFormat="1" ht="15.75" customHeight="1">
      <c r="A1370" s="204" t="str">
        <f>IF(B1370&lt;&gt;"",IF(AND(B1370&gt;=_TM1,B1370&lt;=_TM2,OR(TH!L1661="1111",TH!M1661="1111")),TH!D1661,""),"")</f>
        <v/>
      </c>
      <c r="B1370" s="36">
        <f t="shared" si="64"/>
        <v>8</v>
      </c>
      <c r="C1370" s="184">
        <f t="shared" si="63"/>
        <v>42612</v>
      </c>
      <c r="D1370" s="184" t="s">
        <v>1116</v>
      </c>
      <c r="E1370" s="37">
        <v>42612</v>
      </c>
      <c r="F1370" s="40" t="s">
        <v>484</v>
      </c>
      <c r="G1370" s="456" t="s">
        <v>1295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57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1"/>
      <c r="AC1370" s="557" t="str">
        <f>IF(VLOOKUP(F1370,NXT!$C$35:$C$411,1,0)=F1370,"","x")</f>
        <v/>
      </c>
    </row>
    <row r="1371" spans="1:33" s="211" customFormat="1" ht="15.75" customHeight="1">
      <c r="A1371" s="204" t="str">
        <f>IF(B1371&lt;&gt;"",IF(AND(B1371&gt;=_TM1,B1371&lt;=_TM2,OR(TH!L1662="1111",TH!M1662="1111")),TH!D1662,""),"")</f>
        <v/>
      </c>
      <c r="B1371" s="36">
        <f t="shared" si="64"/>
        <v>8</v>
      </c>
      <c r="C1371" s="184">
        <f t="shared" si="63"/>
        <v>42612</v>
      </c>
      <c r="D1371" s="184" t="s">
        <v>1116</v>
      </c>
      <c r="E1371" s="37">
        <v>42612</v>
      </c>
      <c r="F1371" s="40" t="s">
        <v>1285</v>
      </c>
      <c r="G1371" s="456" t="s">
        <v>1295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57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1"/>
      <c r="AC1371" s="557" t="str">
        <f>IF(VLOOKUP(H1371,DS_131,1,0)=H1371,"","x")</f>
        <v/>
      </c>
      <c r="AD1371" s="557"/>
    </row>
    <row r="1372" spans="1:33" s="211" customFormat="1" ht="15.75" customHeight="1">
      <c r="A1372" s="204" t="str">
        <f>IF(B1372&lt;&gt;"",IF(AND(B1372&gt;=_TM1,B1372&lt;=_TM2,OR(TH!L1663="1111",TH!M1663="1111")),TH!D1663,""),"")</f>
        <v/>
      </c>
      <c r="B1372" s="36">
        <f t="shared" si="64"/>
        <v>8</v>
      </c>
      <c r="C1372" s="184">
        <f t="shared" si="63"/>
        <v>42612</v>
      </c>
      <c r="D1372" s="184" t="s">
        <v>1117</v>
      </c>
      <c r="E1372" s="37">
        <v>42612</v>
      </c>
      <c r="F1372" s="192" t="s">
        <v>1477</v>
      </c>
      <c r="G1372" s="456" t="s">
        <v>1296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57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1"/>
      <c r="AC1372" s="557" t="str">
        <f>IF(VLOOKUP(F1372,NXT!$C$35:$C$411,1,0)=F1372,"","x")</f>
        <v/>
      </c>
      <c r="AD1372" s="557"/>
    </row>
    <row r="1373" spans="1:33" s="211" customFormat="1" ht="15.75" customHeight="1">
      <c r="A1373" s="204" t="str">
        <f>IF(B1373&lt;&gt;"",IF(AND(B1373&gt;=_TM1,B1373&lt;=_TM2,OR(TH!L1664="1111",TH!M1664="1111")),TH!D1664,""),"")</f>
        <v/>
      </c>
      <c r="B1373" s="36">
        <f t="shared" si="64"/>
        <v>8</v>
      </c>
      <c r="C1373" s="184">
        <f t="shared" si="63"/>
        <v>42612</v>
      </c>
      <c r="D1373" s="184" t="s">
        <v>1117</v>
      </c>
      <c r="E1373" s="37">
        <v>42612</v>
      </c>
      <c r="F1373" s="40" t="s">
        <v>1285</v>
      </c>
      <c r="G1373" s="456" t="s">
        <v>1296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57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1"/>
      <c r="AC1373" s="557" t="str">
        <f>IF(VLOOKUP(H1373,DS_131,1,0)=H1373,"","x")</f>
        <v/>
      </c>
      <c r="AD1373" s="557"/>
    </row>
    <row r="1374" spans="1:33" s="211" customFormat="1" ht="15.75" customHeight="1">
      <c r="A1374" s="204" t="str">
        <f>IF(B1374&lt;&gt;"",IF(AND(B1374&gt;=_TM1,B1374&lt;=_TM2,OR(TH!L1665="1111",TH!M1665="1111")),TH!D1665,""),"")</f>
        <v/>
      </c>
      <c r="B1374" s="36">
        <f t="shared" si="64"/>
        <v>8</v>
      </c>
      <c r="C1374" s="184">
        <f t="shared" si="63"/>
        <v>42612</v>
      </c>
      <c r="D1374" s="184" t="s">
        <v>1118</v>
      </c>
      <c r="E1374" s="37">
        <v>42612</v>
      </c>
      <c r="F1374" s="192" t="s">
        <v>1477</v>
      </c>
      <c r="G1374" s="456" t="s">
        <v>1296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57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1"/>
      <c r="AC1374" s="557" t="str">
        <f>IF(VLOOKUP(F1374,NXT!$C$35:$C$411,1,0)=F1374,"","x")</f>
        <v/>
      </c>
      <c r="AD1374" s="557"/>
    </row>
    <row r="1375" spans="1:33" s="211" customFormat="1" ht="15.75" customHeight="1">
      <c r="A1375" s="204" t="str">
        <f>IF(B1375&lt;&gt;"",IF(AND(B1375&gt;=_TM1,B1375&lt;=_TM2,OR(TH!L1666="1111",TH!M1666="1111")),TH!D1666,""),"")</f>
        <v/>
      </c>
      <c r="B1375" s="36">
        <f t="shared" si="64"/>
        <v>8</v>
      </c>
      <c r="C1375" s="184">
        <f t="shared" si="63"/>
        <v>42612</v>
      </c>
      <c r="D1375" s="184" t="s">
        <v>1118</v>
      </c>
      <c r="E1375" s="37">
        <v>42612</v>
      </c>
      <c r="F1375" s="40" t="s">
        <v>1285</v>
      </c>
      <c r="G1375" s="456" t="s">
        <v>1296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57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1"/>
      <c r="AC1375" s="557" t="str">
        <f>IF(VLOOKUP(H1375,DS_131,1,0)=H1375,"","x")</f>
        <v/>
      </c>
      <c r="AD1375" s="557"/>
    </row>
    <row r="1376" spans="1:33" s="211" customFormat="1" ht="15.75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1318</v>
      </c>
      <c r="H1376" s="193"/>
      <c r="I1376" s="256"/>
      <c r="J1376" s="256"/>
      <c r="K1376" s="565">
        <v>500</v>
      </c>
      <c r="L1376" s="566" t="s">
        <v>24</v>
      </c>
      <c r="M1376" s="566" t="s">
        <v>40</v>
      </c>
      <c r="N1376" s="52" t="str">
        <f>IF(AND('331-CT'!$E$7=TH!H1376,OR(L1376="331",M1376="331")),"331",IF(AND(OR(L1376="131",M1376="131"),H1376='131-CT'!$E$7),"131",""))</f>
        <v/>
      </c>
      <c r="O1376" s="857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2"/>
      <c r="AC1376" s="557"/>
      <c r="AD1376" s="557"/>
    </row>
    <row r="1377" spans="1:30" s="211" customFormat="1" ht="15.75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1218</v>
      </c>
      <c r="E1377" s="184">
        <v>42613</v>
      </c>
      <c r="F1377" s="189" t="s">
        <v>1279</v>
      </c>
      <c r="G1377" s="453" t="s">
        <v>1282</v>
      </c>
      <c r="H1377" s="7" t="s">
        <v>886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57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2">
        <v>3</v>
      </c>
      <c r="AC1377" s="557"/>
      <c r="AD1377" s="211" t="str">
        <f>IF(VLOOKUP(H1377,DSKH,1,0)=H1377,"","x")</f>
        <v/>
      </c>
    </row>
    <row r="1378" spans="1:30" s="211" customFormat="1" ht="15.75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1218</v>
      </c>
      <c r="E1378" s="184">
        <v>42613</v>
      </c>
      <c r="F1378" s="189" t="s">
        <v>887</v>
      </c>
      <c r="G1378" s="453" t="s">
        <v>1282</v>
      </c>
      <c r="H1378" s="7" t="s">
        <v>886</v>
      </c>
      <c r="I1378" s="256"/>
      <c r="J1378" s="256"/>
      <c r="K1378" s="565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57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2">
        <v>3</v>
      </c>
      <c r="AC1378" s="557"/>
      <c r="AD1378" s="211" t="str">
        <f>IF(VLOOKUP(H1378,DSKH,1,0)=H1378,"","x")</f>
        <v/>
      </c>
    </row>
    <row r="1379" spans="1:30" s="211" customFormat="1" ht="15.75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1214</v>
      </c>
      <c r="E1379" s="37">
        <v>42614</v>
      </c>
      <c r="F1379" s="40" t="s">
        <v>888</v>
      </c>
      <c r="G1379" s="455" t="s">
        <v>1283</v>
      </c>
      <c r="H1379" s="7" t="s">
        <v>889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57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2">
        <v>3</v>
      </c>
      <c r="AC1379" s="557"/>
      <c r="AD1379" s="211" t="str">
        <f>IF(VLOOKUP(H1379,DSKH,1,0)=H1379,"","x")</f>
        <v/>
      </c>
    </row>
    <row r="1380" spans="1:30" s="211" customFormat="1" ht="15.75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1214</v>
      </c>
      <c r="E1380" s="37">
        <v>42614</v>
      </c>
      <c r="F1380" s="40" t="s">
        <v>890</v>
      </c>
      <c r="G1380" s="455" t="s">
        <v>1283</v>
      </c>
      <c r="H1380" s="7" t="s">
        <v>889</v>
      </c>
      <c r="I1380" s="256"/>
      <c r="J1380" s="256"/>
      <c r="K1380" s="565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57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2">
        <v>3</v>
      </c>
      <c r="AC1380" s="557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891</v>
      </c>
      <c r="G1381" s="455" t="s">
        <v>1283</v>
      </c>
      <c r="H1381" s="7" t="s">
        <v>889</v>
      </c>
      <c r="I1381" s="256"/>
      <c r="J1381" s="256"/>
      <c r="K1381" s="565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57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2"/>
      <c r="AC1381" s="557"/>
      <c r="AD1381" s="211" t="str">
        <f>IF(VLOOKUP(H1381,DSKH,1,0)=H1381,"","x")</f>
        <v/>
      </c>
    </row>
    <row r="1382" spans="1:30" s="211" customFormat="1" ht="15.75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65">
        <v>2300000</v>
      </c>
      <c r="L1382" s="566" t="s">
        <v>47</v>
      </c>
      <c r="M1382" s="566" t="s">
        <v>24</v>
      </c>
      <c r="N1382" s="52" t="str">
        <f>IF(AND('331-CT'!$E$7=TH!H1382,OR(L1382="331",M1382="331")),"331",IF(AND(OR(L1382="131",M1382="131"),H1382='131-CT'!$E$7),"131",""))</f>
        <v/>
      </c>
      <c r="O1382" s="857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2"/>
      <c r="AC1382" s="557"/>
    </row>
    <row r="1383" spans="1:30" s="211" customFormat="1" ht="15.75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65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57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2"/>
      <c r="AC1383" s="557"/>
      <c r="AD1383" s="557"/>
    </row>
    <row r="1384" spans="1:30" s="211" customFormat="1" ht="15.75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65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57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2"/>
      <c r="AC1384" s="557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65">
        <v>10000000</v>
      </c>
      <c r="L1385" s="194" t="s">
        <v>8</v>
      </c>
      <c r="M1385" s="566" t="s">
        <v>24</v>
      </c>
      <c r="N1385" s="52" t="str">
        <f>IF(AND('331-CT'!$E$7=TH!H1385,OR(L1385="331",M1385="331")),"331",IF(AND(OR(L1385="131",M1385="131"),H1385='131-CT'!$E$7),"131",""))</f>
        <v/>
      </c>
      <c r="O1385" s="857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2"/>
      <c r="AC1385" s="557"/>
      <c r="AD1385" s="557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65">
        <v>10000000</v>
      </c>
      <c r="L1386" s="194" t="s">
        <v>8</v>
      </c>
      <c r="M1386" s="566" t="s">
        <v>24</v>
      </c>
      <c r="N1386" s="52" t="str">
        <f>IF(AND('331-CT'!$E$7=TH!H1386,OR(L1386="331",M1386="331")),"331",IF(AND(OR(L1386="131",M1386="131"),H1386='131-CT'!$E$7),"131",""))</f>
        <v/>
      </c>
      <c r="O1386" s="857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2"/>
      <c r="AC1386" s="557"/>
      <c r="AD1386" s="557"/>
    </row>
    <row r="1387" spans="1:30" s="211" customFormat="1" ht="15.75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65">
        <v>13637</v>
      </c>
      <c r="L1387" s="566" t="s">
        <v>83</v>
      </c>
      <c r="M1387" s="566" t="s">
        <v>24</v>
      </c>
      <c r="N1387" s="52" t="str">
        <f>IF(AND('331-CT'!$E$7=TH!H1387,OR(L1387="331",M1387="331")),"331",IF(AND(OR(L1387="131",M1387="131"),H1387='131-CT'!$E$7),"131",""))</f>
        <v/>
      </c>
      <c r="O1387" s="857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1">
        <v>3</v>
      </c>
      <c r="AC1387" s="557"/>
    </row>
    <row r="1388" spans="1:30" s="211" customFormat="1" ht="15.75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65">
        <v>1363</v>
      </c>
      <c r="L1388" s="566" t="s">
        <v>9</v>
      </c>
      <c r="M1388" s="566" t="s">
        <v>24</v>
      </c>
      <c r="N1388" s="52" t="str">
        <f>IF(AND('331-CT'!$E$7=TH!H1388,OR(L1388="331",M1388="331")),"331",IF(AND(OR(L1388="131",M1388="131"),H1388='131-CT'!$E$7),"131",""))</f>
        <v/>
      </c>
      <c r="O1388" s="857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1">
        <v>3</v>
      </c>
      <c r="AC1388" s="557"/>
      <c r="AD1388" s="557"/>
    </row>
    <row r="1389" spans="1:30" s="211" customFormat="1" ht="15.75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65">
        <v>13637</v>
      </c>
      <c r="L1389" s="566" t="s">
        <v>83</v>
      </c>
      <c r="M1389" s="566" t="s">
        <v>24</v>
      </c>
      <c r="N1389" s="52" t="str">
        <f>IF(AND('331-CT'!$E$7=TH!H1389,OR(L1389="331",M1389="331")),"331",IF(AND(OR(L1389="131",M1389="131"),H1389='131-CT'!$E$7),"131",""))</f>
        <v/>
      </c>
      <c r="O1389" s="857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1">
        <v>3</v>
      </c>
      <c r="AC1389" s="557"/>
    </row>
    <row r="1390" spans="1:30" s="211" customFormat="1" ht="15.75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65">
        <v>1363</v>
      </c>
      <c r="L1390" s="566" t="s">
        <v>9</v>
      </c>
      <c r="M1390" s="566" t="s">
        <v>24</v>
      </c>
      <c r="N1390" s="52" t="str">
        <f>IF(AND('331-CT'!$E$7=TH!H1390,OR(L1390="331",M1390="331")),"331",IF(AND(OR(L1390="131",M1390="131"),H1390='131-CT'!$E$7),"131",""))</f>
        <v/>
      </c>
      <c r="O1390" s="857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1">
        <v>3</v>
      </c>
      <c r="AC1390" s="557"/>
      <c r="AD1390" s="557"/>
    </row>
    <row r="1391" spans="1:30" s="211" customFormat="1" ht="15.75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1321</v>
      </c>
      <c r="G1391" s="192" t="s">
        <v>1318</v>
      </c>
      <c r="H1391" s="193" t="s">
        <v>1326</v>
      </c>
      <c r="I1391" s="256"/>
      <c r="J1391" s="256"/>
      <c r="K1391" s="565">
        <v>100000000</v>
      </c>
      <c r="L1391" s="566" t="s">
        <v>24</v>
      </c>
      <c r="M1391" s="566" t="s">
        <v>790</v>
      </c>
      <c r="N1391" s="52" t="str">
        <f>IF(AND('331-CT'!$E$7=TH!H1391,OR(L1391="331",M1391="331")),"331",IF(AND(OR(L1391="131",M1391="131"),H1391='131-CT'!$E$7),"131",""))</f>
        <v/>
      </c>
      <c r="O1391" s="857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2"/>
      <c r="AC1391" s="557"/>
      <c r="AD1391" s="557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1318</v>
      </c>
      <c r="H1392" s="193"/>
      <c r="I1392" s="256"/>
      <c r="J1392" s="256"/>
      <c r="K1392" s="565">
        <v>100000000</v>
      </c>
      <c r="L1392" s="566" t="s">
        <v>8</v>
      </c>
      <c r="M1392" s="566" t="s">
        <v>24</v>
      </c>
      <c r="N1392" s="52" t="str">
        <f>IF(AND('331-CT'!$E$7=TH!H1392,OR(L1392="331",M1392="331")),"331",IF(AND(OR(L1392="131",M1392="131"),H1392='131-CT'!$E$7),"131",""))</f>
        <v/>
      </c>
      <c r="O1392" s="857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2"/>
      <c r="AC1392" s="557"/>
      <c r="AD1392" s="557"/>
    </row>
    <row r="1393" spans="1:30" s="211" customFormat="1" ht="15.75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1318</v>
      </c>
      <c r="H1393" s="193"/>
      <c r="I1393" s="256"/>
      <c r="J1393" s="256"/>
      <c r="K1393" s="565">
        <v>68860</v>
      </c>
      <c r="L1393" s="566" t="s">
        <v>83</v>
      </c>
      <c r="M1393" s="566" t="s">
        <v>24</v>
      </c>
      <c r="N1393" s="52" t="str">
        <f>IF(AND('331-CT'!$E$7=TH!H1393,OR(L1393="331",M1393="331")),"331",IF(AND(OR(L1393="131",M1393="131"),H1393='131-CT'!$E$7),"131",""))</f>
        <v/>
      </c>
      <c r="O1393" s="857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2">
        <v>3</v>
      </c>
      <c r="AC1393" s="557"/>
      <c r="AD1393" s="557"/>
    </row>
    <row r="1394" spans="1:30" s="211" customFormat="1" ht="15.75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1318</v>
      </c>
      <c r="H1394" s="193"/>
      <c r="I1394" s="256"/>
      <c r="J1394" s="256"/>
      <c r="K1394" s="565">
        <v>6886</v>
      </c>
      <c r="L1394" s="566" t="s">
        <v>9</v>
      </c>
      <c r="M1394" s="566" t="s">
        <v>24</v>
      </c>
      <c r="N1394" s="52" t="str">
        <f>IF(AND('331-CT'!$E$7=TH!H1394,OR(L1394="331",M1394="331")),"331",IF(AND(OR(L1394="131",M1394="131"),H1394='131-CT'!$E$7),"131",""))</f>
        <v/>
      </c>
      <c r="O1394" s="857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2">
        <v>3</v>
      </c>
      <c r="AC1394" s="557"/>
      <c r="AD1394" s="557"/>
    </row>
    <row r="1395" spans="1:30" s="211" customFormat="1" ht="15.75" customHeight="1">
      <c r="A1395" s="204" t="str">
        <f>IF(B1395&lt;&gt;"",IF(AND(B1395&gt;=_TM1,B1395&lt;=_TM2,OR(TH!L1667="1111",TH!M1667="1111")),TH!D1667,""),"")</f>
        <v/>
      </c>
      <c r="B1395" s="36">
        <f t="shared" si="64"/>
        <v>9</v>
      </c>
      <c r="C1395" s="184">
        <f t="shared" si="63"/>
        <v>42627</v>
      </c>
      <c r="D1395" s="184" t="s">
        <v>1119</v>
      </c>
      <c r="E1395" s="37">
        <v>42627</v>
      </c>
      <c r="F1395" s="40" t="s">
        <v>640</v>
      </c>
      <c r="G1395" s="456" t="s">
        <v>1297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57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1"/>
      <c r="AC1395" s="557" t="str">
        <f>IF(VLOOKUP(F1395,NXT!$C$35:$C$411,1,0)=F1395,"","x")</f>
        <v/>
      </c>
    </row>
    <row r="1396" spans="1:30" s="211" customFormat="1" ht="15.75" customHeight="1">
      <c r="A1396" s="204" t="str">
        <f>IF(B1396&lt;&gt;"",IF(AND(B1396&gt;=_TM1,B1396&lt;=_TM2,OR(TH!L1668="1111",TH!M1668="1111")),TH!D1668,""),"")</f>
        <v/>
      </c>
      <c r="B1396" s="36">
        <f t="shared" si="64"/>
        <v>9</v>
      </c>
      <c r="C1396" s="184">
        <f t="shared" si="63"/>
        <v>42627</v>
      </c>
      <c r="D1396" s="184" t="s">
        <v>1119</v>
      </c>
      <c r="E1396" s="37">
        <v>42627</v>
      </c>
      <c r="F1396" s="40" t="s">
        <v>1285</v>
      </c>
      <c r="G1396" s="456" t="s">
        <v>1297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57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1"/>
      <c r="AC1396" s="557" t="str">
        <f>IF(VLOOKUP(H1396,DS_131,1,0)=H1396,"","x")</f>
        <v/>
      </c>
      <c r="AD1396" s="557"/>
    </row>
    <row r="1397" spans="1:30" s="211" customFormat="1" ht="15.75" customHeight="1">
      <c r="A1397" s="204" t="str">
        <f>IF(B1397&lt;&gt;"",IF(AND(B1397&gt;=_TM1,B1397&lt;=_TM2,OR(TH!L1669="1111",TH!M1669="1111")),TH!D1669,""),"")</f>
        <v/>
      </c>
      <c r="B1397" s="36">
        <f t="shared" si="64"/>
        <v>9</v>
      </c>
      <c r="C1397" s="184">
        <f t="shared" si="63"/>
        <v>42627</v>
      </c>
      <c r="D1397" s="184" t="s">
        <v>1120</v>
      </c>
      <c r="E1397" s="37">
        <v>42627</v>
      </c>
      <c r="F1397" s="40" t="s">
        <v>1003</v>
      </c>
      <c r="G1397" s="456" t="s">
        <v>1298</v>
      </c>
      <c r="H1397" s="193" t="s">
        <v>1299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57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1"/>
      <c r="AC1397" s="557" t="str">
        <f>IF(VLOOKUP(F1397,NXT!$C$35:$C$411,1,0)=F1397,"","x")</f>
        <v/>
      </c>
    </row>
    <row r="1398" spans="1:30" s="211" customFormat="1" ht="15.75" customHeight="1">
      <c r="A1398" s="204" t="str">
        <f>IF(B1398&lt;&gt;"",IF(AND(B1398&gt;=_TM1,B1398&lt;=_TM2,OR(TH!L1670="1111",TH!M1670="1111")),TH!D1670,""),"")</f>
        <v/>
      </c>
      <c r="B1398" s="36">
        <f t="shared" si="64"/>
        <v>9</v>
      </c>
      <c r="C1398" s="184">
        <f t="shared" si="63"/>
        <v>42627</v>
      </c>
      <c r="D1398" s="184" t="s">
        <v>1120</v>
      </c>
      <c r="E1398" s="37">
        <v>42627</v>
      </c>
      <c r="F1398" s="40" t="s">
        <v>1285</v>
      </c>
      <c r="G1398" s="456" t="s">
        <v>1298</v>
      </c>
      <c r="H1398" s="193" t="s">
        <v>1299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57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1"/>
      <c r="AC1398" s="557" t="str">
        <f>IF(VLOOKUP(H1398,DS_131,1,0)=H1398,"","x")</f>
        <v/>
      </c>
      <c r="AD1398" s="557"/>
    </row>
    <row r="1399" spans="1:30" s="211" customFormat="1" ht="15.75" customHeight="1">
      <c r="A1399" s="204" t="str">
        <f>IF(B1399&lt;&gt;"",IF(AND(B1399&gt;=_TM1,B1399&lt;=_TM2,OR(TH!L1588="1111",TH!M1588="1111")),TH!D1588,""),"")</f>
        <v/>
      </c>
      <c r="B1399" s="36">
        <f t="shared" si="64"/>
        <v>9</v>
      </c>
      <c r="C1399" s="184">
        <f t="shared" si="63"/>
        <v>42628</v>
      </c>
      <c r="D1399" s="184" t="s">
        <v>1219</v>
      </c>
      <c r="E1399" s="191">
        <v>42628</v>
      </c>
      <c r="F1399" s="40" t="s">
        <v>1278</v>
      </c>
      <c r="G1399" s="456" t="s">
        <v>1554</v>
      </c>
      <c r="H1399" s="7" t="s">
        <v>886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57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0">
        <v>4</v>
      </c>
      <c r="AC1399" s="557"/>
      <c r="AD1399" s="557"/>
    </row>
    <row r="1400" spans="1:30" s="211" customFormat="1" ht="15.75" customHeight="1">
      <c r="A1400" s="204" t="str">
        <f>IF(B1400&lt;&gt;"",IF(AND(B1400&gt;=_TM1,B1400&lt;=_TM2,OR(TH!L1589="1111",TH!M1589="1111")),TH!D1589,""),"")</f>
        <v/>
      </c>
      <c r="B1400" s="36">
        <f t="shared" si="64"/>
        <v>9</v>
      </c>
      <c r="C1400" s="184">
        <f t="shared" si="63"/>
        <v>42628</v>
      </c>
      <c r="D1400" s="184" t="s">
        <v>1219</v>
      </c>
      <c r="E1400" s="191">
        <v>42628</v>
      </c>
      <c r="F1400" s="40" t="s">
        <v>1279</v>
      </c>
      <c r="G1400" s="456" t="s">
        <v>1554</v>
      </c>
      <c r="H1400" s="7" t="s">
        <v>886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57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0">
        <v>4</v>
      </c>
      <c r="AC1400" s="557"/>
      <c r="AD1400" s="557"/>
    </row>
    <row r="1401" spans="1:30" s="211" customFormat="1" ht="15.75" customHeight="1">
      <c r="A1401" s="204" t="str">
        <f>IF(B1401&lt;&gt;"",IF(AND(B1401&gt;=_TM1,B1401&lt;=_TM2,OR(TH!L1590="1111",TH!M1590="1111")),TH!D1590,""),"")</f>
        <v/>
      </c>
      <c r="B1401" s="36">
        <f t="shared" si="64"/>
        <v>9</v>
      </c>
      <c r="C1401" s="184">
        <f t="shared" si="63"/>
        <v>42628</v>
      </c>
      <c r="D1401" s="184" t="s">
        <v>1219</v>
      </c>
      <c r="E1401" s="191">
        <v>42628</v>
      </c>
      <c r="F1401" s="192" t="s">
        <v>1276</v>
      </c>
      <c r="G1401" s="456" t="s">
        <v>1554</v>
      </c>
      <c r="H1401" s="7" t="s">
        <v>886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57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0">
        <v>4</v>
      </c>
      <c r="AC1401" s="557"/>
      <c r="AD1401" s="557"/>
    </row>
    <row r="1402" spans="1:30" s="211" customFormat="1" ht="15.75" customHeight="1">
      <c r="A1402" s="204" t="str">
        <f>IF(B1402&lt;&gt;"",IF(AND(B1402&gt;=_TM1,B1402&lt;=_TM2,OR(TH!L1591="1111",TH!M1591="1111")),TH!D1591,""),"")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1554</v>
      </c>
      <c r="H1402" s="7" t="s">
        <v>886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57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0">
        <v>4</v>
      </c>
      <c r="AC1402" s="557"/>
    </row>
    <row r="1403" spans="1:30" s="211" customFormat="1" ht="15.75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65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57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2"/>
      <c r="AC1403" s="557" t="str">
        <f>IF(VLOOKUP(H1403,DS_131,1,0)=H1403,"","x")</f>
        <v/>
      </c>
      <c r="AD1403" s="557"/>
    </row>
    <row r="1404" spans="1:30" s="211" customFormat="1" ht="15.75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65">
        <v>18000000</v>
      </c>
      <c r="L1404" s="566" t="s">
        <v>47</v>
      </c>
      <c r="M1404" s="566" t="s">
        <v>24</v>
      </c>
      <c r="N1404" s="52" t="str">
        <f>IF(AND('331-CT'!$E$7=TH!H1404,OR(L1404="331",M1404="331")),"331",IF(AND(OR(L1404="131",M1404="131"),H1404='131-CT'!$E$7),"131",""))</f>
        <v/>
      </c>
      <c r="O1404" s="857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2"/>
      <c r="AC1404" s="557"/>
    </row>
    <row r="1405" spans="1:30" s="211" customFormat="1" ht="15.75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1299</v>
      </c>
      <c r="I1405" s="256"/>
      <c r="J1405" s="256"/>
      <c r="K1405" s="565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57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2"/>
      <c r="AC1405" s="557" t="str">
        <f>IF(VLOOKUP(H1405,DS_131,1,0)=H1405,"","x")</f>
        <v/>
      </c>
    </row>
    <row r="1406" spans="1:30" s="211" customFormat="1" ht="15.75" customHeight="1">
      <c r="A1406" s="204" t="str">
        <f>IF(B1406&lt;&gt;"",IF(AND(B1406&gt;=_TM1,B1406&lt;=_TM2,OR(TH!L1671="1111",TH!M1671="1111")),TH!D1671,""),"")</f>
        <v/>
      </c>
      <c r="B1406" s="36">
        <f t="shared" si="64"/>
        <v>9</v>
      </c>
      <c r="C1406" s="184">
        <f t="shared" si="65"/>
        <v>42632</v>
      </c>
      <c r="D1406" s="184" t="s">
        <v>1121</v>
      </c>
      <c r="E1406" s="191">
        <v>42632</v>
      </c>
      <c r="F1406" s="192" t="s">
        <v>1474</v>
      </c>
      <c r="G1406" s="456" t="s">
        <v>1300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57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1"/>
      <c r="AC1406" s="557" t="str">
        <f>IF(VLOOKUP(F1406,NXT!$C$35:$C$411,1,0)=F1406,"","x")</f>
        <v/>
      </c>
    </row>
    <row r="1407" spans="1:30" s="211" customFormat="1" ht="15.75" customHeight="1">
      <c r="A1407" s="204" t="str">
        <f>IF(B1407&lt;&gt;"",IF(AND(B1407&gt;=_TM1,B1407&lt;=_TM2,OR(TH!L1672="1111",TH!M1672="1111")),TH!D1672,""),"")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1121</v>
      </c>
      <c r="E1407" s="191">
        <v>42632</v>
      </c>
      <c r="F1407" s="40" t="s">
        <v>1285</v>
      </c>
      <c r="G1407" s="456" t="s">
        <v>1300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57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1"/>
      <c r="AC1407" s="557" t="str">
        <f>IF(VLOOKUP(H1407,DS_131,1,0)=H1407,"","x")</f>
        <v/>
      </c>
      <c r="AD1407" s="557"/>
    </row>
    <row r="1408" spans="1:30" s="211" customFormat="1" ht="15.75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65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57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2"/>
      <c r="AC1408" s="557" t="str">
        <f>IF(VLOOKUP(H1408,DS_131,1,0)=H1408,"","x")</f>
        <v/>
      </c>
      <c r="AD1408" s="557"/>
    </row>
    <row r="1409" spans="1:30" s="211" customFormat="1" ht="15.75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65">
        <v>3000000</v>
      </c>
      <c r="L1409" s="566" t="s">
        <v>47</v>
      </c>
      <c r="M1409" s="566" t="s">
        <v>24</v>
      </c>
      <c r="N1409" s="52" t="str">
        <f>IF(AND('331-CT'!$E$7=TH!H1409,OR(L1409="331",M1409="331")),"331",IF(AND(OR(L1409="131",M1409="131"),H1409='131-CT'!$E$7),"131",""))</f>
        <v/>
      </c>
      <c r="O1409" s="857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2"/>
      <c r="AC1409" s="557"/>
      <c r="AD1409" s="557"/>
    </row>
    <row r="1410" spans="1:30" s="211" customFormat="1" ht="15.75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1318</v>
      </c>
      <c r="H1410" s="193"/>
      <c r="I1410" s="256"/>
      <c r="J1410" s="256"/>
      <c r="K1410" s="565">
        <v>15500000</v>
      </c>
      <c r="L1410" s="566" t="s">
        <v>24</v>
      </c>
      <c r="M1410" s="566" t="s">
        <v>47</v>
      </c>
      <c r="N1410" s="52" t="str">
        <f>IF(AND('331-CT'!$E$7=TH!H1410,OR(L1410="331",M1410="331")),"331",IF(AND(OR(L1410="131",M1410="131"),H1410='131-CT'!$E$7),"131",""))</f>
        <v/>
      </c>
      <c r="O1410" s="857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2"/>
      <c r="AC1410" s="557"/>
      <c r="AD1410" s="557"/>
    </row>
    <row r="1411" spans="1:30" s="211" customFormat="1" ht="15.75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1327</v>
      </c>
      <c r="G1411" s="192" t="s">
        <v>1318</v>
      </c>
      <c r="H1411" s="193" t="s">
        <v>1322</v>
      </c>
      <c r="I1411" s="256"/>
      <c r="J1411" s="256"/>
      <c r="K1411" s="565">
        <v>14300000</v>
      </c>
      <c r="L1411" s="566" t="s">
        <v>81</v>
      </c>
      <c r="M1411" s="566" t="s">
        <v>24</v>
      </c>
      <c r="N1411" s="52" t="str">
        <f>IF(AND('331-CT'!$E$7=TH!H1411,OR(L1411="331",M1411="331")),"331",IF(AND(OR(L1411="131",M1411="131"),H1411='131-CT'!$E$7),"131",""))</f>
        <v/>
      </c>
      <c r="O1411" s="857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2"/>
      <c r="AC1411" s="557"/>
      <c r="AD1411" s="557"/>
    </row>
    <row r="1412" spans="1:30" s="211" customFormat="1" ht="15.75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1327</v>
      </c>
      <c r="G1412" s="192" t="s">
        <v>1318</v>
      </c>
      <c r="H1412" s="193" t="s">
        <v>1325</v>
      </c>
      <c r="I1412" s="256"/>
      <c r="J1412" s="256"/>
      <c r="K1412" s="565">
        <v>975000</v>
      </c>
      <c r="L1412" s="566" t="s">
        <v>81</v>
      </c>
      <c r="M1412" s="566" t="s">
        <v>24</v>
      </c>
      <c r="N1412" s="52" t="str">
        <f>IF(AND('331-CT'!$E$7=TH!H1412,OR(L1412="331",M1412="331")),"331",IF(AND(OR(L1412="131",M1412="131"),H1412='131-CT'!$E$7),"131",""))</f>
        <v/>
      </c>
      <c r="O1412" s="857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2"/>
      <c r="AC1412" s="557"/>
      <c r="AD1412" s="557"/>
    </row>
    <row r="1413" spans="1:30" s="211" customFormat="1" ht="15.75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1327</v>
      </c>
      <c r="G1413" s="192" t="s">
        <v>1318</v>
      </c>
      <c r="H1413" s="193" t="s">
        <v>1326</v>
      </c>
      <c r="I1413" s="256"/>
      <c r="J1413" s="256"/>
      <c r="K1413" s="565">
        <v>136764</v>
      </c>
      <c r="L1413" s="566" t="s">
        <v>81</v>
      </c>
      <c r="M1413" s="566" t="s">
        <v>24</v>
      </c>
      <c r="N1413" s="52" t="str">
        <f>IF(AND('331-CT'!$E$7=TH!H1413,OR(L1413="331",M1413="331")),"331",IF(AND(OR(L1413="131",M1413="131"),H1413='131-CT'!$E$7),"131",""))</f>
        <v/>
      </c>
      <c r="O1413" s="857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2"/>
      <c r="AC1413" s="557"/>
      <c r="AD1413" s="557"/>
    </row>
    <row r="1414" spans="1:30" s="211" customFormat="1" ht="15.75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65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57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2"/>
      <c r="AC1414" s="557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65">
        <v>10000000</v>
      </c>
      <c r="L1415" s="194" t="s">
        <v>8</v>
      </c>
      <c r="M1415" s="566" t="s">
        <v>24</v>
      </c>
      <c r="N1415" s="52" t="str">
        <f>IF(AND('331-CT'!$E$7=TH!H1415,OR(L1415="331",M1415="331")),"331",IF(AND(OR(L1415="131",M1415="131"),H1415='131-CT'!$E$7),"131",""))</f>
        <v/>
      </c>
      <c r="O1415" s="857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2"/>
      <c r="AC1415" s="557"/>
    </row>
    <row r="1416" spans="1:30" s="211" customFormat="1" ht="15.75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65">
        <v>13637</v>
      </c>
      <c r="L1416" s="566" t="s">
        <v>83</v>
      </c>
      <c r="M1416" s="566" t="s">
        <v>24</v>
      </c>
      <c r="N1416" s="52" t="str">
        <f>IF(AND('331-CT'!$E$7=TH!H1416,OR(L1416="331",M1416="331")),"331",IF(AND(OR(L1416="131",M1416="131"),H1416='131-CT'!$E$7),"131",""))</f>
        <v/>
      </c>
      <c r="O1416" s="857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1">
        <v>3</v>
      </c>
      <c r="AC1416" s="557"/>
      <c r="AD1416" s="557"/>
    </row>
    <row r="1417" spans="1:30" s="211" customFormat="1" ht="15.75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65">
        <v>1363</v>
      </c>
      <c r="L1417" s="566" t="s">
        <v>9</v>
      </c>
      <c r="M1417" s="566" t="s">
        <v>24</v>
      </c>
      <c r="N1417" s="52" t="str">
        <f>IF(AND('331-CT'!$E$7=TH!H1417,OR(L1417="331",M1417="331")),"331",IF(AND(OR(L1417="131",M1417="131"),H1417='131-CT'!$E$7),"131",""))</f>
        <v/>
      </c>
      <c r="O1417" s="857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1">
        <v>3</v>
      </c>
      <c r="AC1417" s="557"/>
    </row>
    <row r="1418" spans="1:30" s="211" customFormat="1" ht="15.75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65">
        <v>13637</v>
      </c>
      <c r="L1418" s="566" t="s">
        <v>83</v>
      </c>
      <c r="M1418" s="566" t="s">
        <v>24</v>
      </c>
      <c r="N1418" s="52" t="str">
        <f>IF(AND('331-CT'!$E$7=TH!H1418,OR(L1418="331",M1418="331")),"331",IF(AND(OR(L1418="131",M1418="131"),H1418='131-CT'!$E$7),"131",""))</f>
        <v/>
      </c>
      <c r="O1418" s="857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1">
        <v>3</v>
      </c>
      <c r="AC1418" s="557"/>
      <c r="AD1418" s="557"/>
    </row>
    <row r="1419" spans="1:30" s="211" customFormat="1" ht="15.75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65">
        <v>1363</v>
      </c>
      <c r="L1419" s="566" t="s">
        <v>9</v>
      </c>
      <c r="M1419" s="566" t="s">
        <v>24</v>
      </c>
      <c r="N1419" s="52" t="str">
        <f>IF(AND('331-CT'!$E$7=TH!H1419,OR(L1419="331",M1419="331")),"331",IF(AND(OR(L1419="131",M1419="131"),H1419='131-CT'!$E$7),"131",""))</f>
        <v/>
      </c>
      <c r="O1419" s="857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1">
        <v>3</v>
      </c>
      <c r="AC1419" s="557"/>
    </row>
    <row r="1420" spans="1:30" s="211" customFormat="1" ht="15.75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1313</v>
      </c>
      <c r="I1420" s="256"/>
      <c r="J1420" s="256"/>
      <c r="K1420" s="565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57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2"/>
      <c r="AC1420" s="557"/>
      <c r="AD1420" s="557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65">
        <v>10000000</v>
      </c>
      <c r="L1421" s="194" t="s">
        <v>8</v>
      </c>
      <c r="M1421" s="566" t="s">
        <v>24</v>
      </c>
      <c r="N1421" s="52" t="str">
        <f>IF(AND('331-CT'!$E$7=TH!H1421,OR(L1421="331",M1421="331")),"331",IF(AND(OR(L1421="131",M1421="131"),H1421='131-CT'!$E$7),"131",""))</f>
        <v/>
      </c>
      <c r="O1421" s="857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2"/>
      <c r="AC1421" s="557"/>
      <c r="AD1421" s="557"/>
    </row>
    <row r="1422" spans="1:30" s="211" customFormat="1" ht="15.75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65">
        <v>9091</v>
      </c>
      <c r="L1422" s="566" t="s">
        <v>83</v>
      </c>
      <c r="M1422" s="566" t="s">
        <v>24</v>
      </c>
      <c r="N1422" s="52" t="str">
        <f>IF(AND('331-CT'!$E$7=TH!H1422,OR(L1422="331",M1422="331")),"331",IF(AND(OR(L1422="131",M1422="131"),H1422='131-CT'!$E$7),"131",""))</f>
        <v/>
      </c>
      <c r="O1422" s="857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1">
        <v>3</v>
      </c>
      <c r="AC1422" s="557"/>
    </row>
    <row r="1423" spans="1:30" s="211" customFormat="1" ht="15.75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65">
        <v>909</v>
      </c>
      <c r="L1423" s="566" t="s">
        <v>9</v>
      </c>
      <c r="M1423" s="566" t="s">
        <v>24</v>
      </c>
      <c r="N1423" s="52" t="str">
        <f>IF(AND('331-CT'!$E$7=TH!H1423,OR(L1423="331",M1423="331")),"331",IF(AND(OR(L1423="131",M1423="131"),H1423='131-CT'!$E$7),"131",""))</f>
        <v/>
      </c>
      <c r="O1423" s="857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1">
        <v>3</v>
      </c>
      <c r="AC1423" s="557"/>
      <c r="AD1423" s="557"/>
    </row>
    <row r="1424" spans="1:30" s="211" customFormat="1" ht="15.75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65">
        <v>13637</v>
      </c>
      <c r="L1424" s="566" t="s">
        <v>83</v>
      </c>
      <c r="M1424" s="566" t="s">
        <v>24</v>
      </c>
      <c r="N1424" s="52" t="str">
        <f>IF(AND('331-CT'!$E$7=TH!H1424,OR(L1424="331",M1424="331")),"331",IF(AND(OR(L1424="131",M1424="131"),H1424='131-CT'!$E$7),"131",""))</f>
        <v/>
      </c>
      <c r="O1424" s="857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1">
        <v>3</v>
      </c>
      <c r="AC1424" s="557"/>
    </row>
    <row r="1425" spans="1:30" s="211" customFormat="1" ht="15.75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65">
        <v>1363</v>
      </c>
      <c r="L1425" s="566" t="s">
        <v>9</v>
      </c>
      <c r="M1425" s="566" t="s">
        <v>24</v>
      </c>
      <c r="N1425" s="52" t="str">
        <f>IF(AND('331-CT'!$E$7=TH!H1425,OR(L1425="331",M1425="331")),"331",IF(AND(OR(L1425="131",M1425="131"),H1425='131-CT'!$E$7),"131",""))</f>
        <v/>
      </c>
      <c r="O1425" s="857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1">
        <v>3</v>
      </c>
      <c r="AC1425" s="557"/>
      <c r="AD1425" s="557"/>
    </row>
    <row r="1426" spans="1:30" s="211" customFormat="1" ht="15.75" customHeight="1">
      <c r="A1426" s="204" t="str">
        <f>IF(B1426&lt;&gt;"",IF(AND(B1426&gt;=_TM1,B1426&lt;=_TM2,OR(TH!L1673="1111",TH!M1673="1111")),TH!D1673,""),"")</f>
        <v/>
      </c>
      <c r="B1426" s="36">
        <f t="shared" si="66"/>
        <v>9</v>
      </c>
      <c r="C1426" s="184">
        <f t="shared" si="65"/>
        <v>42635</v>
      </c>
      <c r="D1426" s="184" t="s">
        <v>1122</v>
      </c>
      <c r="E1426" s="191">
        <v>42635</v>
      </c>
      <c r="F1426" s="40" t="s">
        <v>710</v>
      </c>
      <c r="G1426" s="456" t="s">
        <v>1301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57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1"/>
      <c r="AC1426" s="557"/>
    </row>
    <row r="1427" spans="1:30" s="211" customFormat="1" ht="15.75" customHeight="1">
      <c r="A1427" s="204" t="str">
        <f>IF(B1427&lt;&gt;"",IF(AND(B1427&gt;=_TM1,B1427&lt;=_TM2,OR(TH!L1674="1111",TH!M1674="1111")),TH!D1674,""),"")</f>
        <v/>
      </c>
      <c r="B1427" s="36">
        <f t="shared" si="66"/>
        <v>9</v>
      </c>
      <c r="C1427" s="184">
        <f t="shared" si="65"/>
        <v>42635</v>
      </c>
      <c r="D1427" s="184" t="s">
        <v>1122</v>
      </c>
      <c r="E1427" s="191">
        <v>42635</v>
      </c>
      <c r="F1427" s="40" t="s">
        <v>555</v>
      </c>
      <c r="G1427" s="456" t="s">
        <v>1301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57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1"/>
      <c r="AC1427" s="557" t="str">
        <f>IF(VLOOKUP(H1427,DS_131,1,0)=H1427,"","x")</f>
        <v/>
      </c>
      <c r="AD1427" s="557"/>
    </row>
    <row r="1428" spans="1:30" s="211" customFormat="1" ht="15.75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65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57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2"/>
      <c r="AC1428" s="557"/>
    </row>
    <row r="1429" spans="1:30" s="211" customFormat="1" ht="15.75" customHeight="1">
      <c r="A1429" s="204" t="str">
        <f>IF(B1429&lt;&gt;"",IF(AND(B1429&gt;=_TM1,B1429&lt;=_TM2,OR(TH!L1592="1111",TH!M1592="1111")),TH!D1592,""),"")</f>
        <v/>
      </c>
      <c r="B1429" s="36">
        <f t="shared" si="66"/>
        <v>9</v>
      </c>
      <c r="C1429" s="184">
        <f t="shared" si="65"/>
        <v>42637</v>
      </c>
      <c r="D1429" s="184" t="s">
        <v>1220</v>
      </c>
      <c r="E1429" s="191">
        <v>42637</v>
      </c>
      <c r="F1429" s="192" t="s">
        <v>1276</v>
      </c>
      <c r="G1429" s="456" t="s">
        <v>1553</v>
      </c>
      <c r="H1429" s="7" t="s">
        <v>886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57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0">
        <v>4</v>
      </c>
      <c r="AC1429" s="557"/>
      <c r="AD1429" s="557"/>
    </row>
    <row r="1430" spans="1:30" s="211" customFormat="1" ht="15.75" customHeight="1">
      <c r="A1430" s="204" t="str">
        <f>IF(B1430&lt;&gt;"",IF(AND(B1430&gt;=_TM1,B1430&lt;=_TM2,OR(TH!L1593="1111",TH!M1593="1111")),TH!D1593,""),"")</f>
        <v/>
      </c>
      <c r="B1430" s="36">
        <f t="shared" si="66"/>
        <v>9</v>
      </c>
      <c r="C1430" s="184">
        <f t="shared" si="65"/>
        <v>42637</v>
      </c>
      <c r="D1430" s="184" t="s">
        <v>1220</v>
      </c>
      <c r="E1430" s="191">
        <v>42637</v>
      </c>
      <c r="F1430" s="40" t="s">
        <v>1279</v>
      </c>
      <c r="G1430" s="456" t="s">
        <v>1553</v>
      </c>
      <c r="H1430" s="7" t="s">
        <v>886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57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0">
        <v>4</v>
      </c>
      <c r="AC1430" s="557"/>
      <c r="AD1430" s="557"/>
    </row>
    <row r="1431" spans="1:30" s="211" customFormat="1" ht="15.75" customHeight="1">
      <c r="A1431" s="204" t="str">
        <f>IF(B1431&lt;&gt;"",IF(AND(B1431&gt;=_TM1,B1431&lt;=_TM2,OR(TH!L1594="1111",TH!M1594="1111")),TH!D1594,""),"")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1553</v>
      </c>
      <c r="H1431" s="7" t="s">
        <v>886</v>
      </c>
      <c r="I1431" s="257"/>
      <c r="J1431" s="257"/>
      <c r="K1431" s="38">
        <v>1033570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57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0">
        <v>4</v>
      </c>
      <c r="AC1431" s="557"/>
    </row>
    <row r="1432" spans="1:30" s="211" customFormat="1" ht="15.75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65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57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2"/>
      <c r="AC1432" s="557" t="str">
        <f>IF(VLOOKUP(H1432,DS_131,1,0)=H1432,"","x")</f>
        <v/>
      </c>
      <c r="AD1432" s="557"/>
    </row>
    <row r="1433" spans="1:30" s="211" customFormat="1" ht="15.75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65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57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2"/>
      <c r="AC1433" s="557" t="str">
        <f>IF(VLOOKUP(H1433,DS_131,1,0)=H1433,"","x")</f>
        <v/>
      </c>
    </row>
    <row r="1434" spans="1:30" s="211" customFormat="1" ht="15.75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65">
        <v>17000000</v>
      </c>
      <c r="L1434" s="566" t="s">
        <v>47</v>
      </c>
      <c r="M1434" s="566" t="s">
        <v>24</v>
      </c>
      <c r="N1434" s="52" t="str">
        <f>IF(AND('331-CT'!$E$7=TH!H1434,OR(L1434="331",M1434="331")),"331",IF(AND(OR(L1434="131",M1434="131"),H1434='131-CT'!$E$7),"131",""))</f>
        <v/>
      </c>
      <c r="O1434" s="857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2"/>
      <c r="AC1434" s="557"/>
      <c r="AD1434" s="557"/>
    </row>
    <row r="1435" spans="1:30" s="211" customFormat="1" ht="15.75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1215</v>
      </c>
      <c r="E1435" s="37">
        <v>42642</v>
      </c>
      <c r="F1435" s="40" t="s">
        <v>888</v>
      </c>
      <c r="G1435" s="455" t="s">
        <v>1556</v>
      </c>
      <c r="H1435" s="7" t="s">
        <v>889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57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0">
        <v>4</v>
      </c>
      <c r="AC1435" s="557"/>
      <c r="AD1435" s="211" t="str">
        <f>IF(VLOOKUP(H1435,DSKH,1,0)=H1435,"","x")</f>
        <v/>
      </c>
    </row>
    <row r="1436" spans="1:30" s="211" customFormat="1" ht="15.75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890</v>
      </c>
      <c r="G1436" s="455" t="s">
        <v>1556</v>
      </c>
      <c r="H1436" s="7" t="s">
        <v>889</v>
      </c>
      <c r="I1436" s="256"/>
      <c r="J1436" s="256"/>
      <c r="K1436" s="565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57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0">
        <v>4</v>
      </c>
      <c r="AC1436" s="557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891</v>
      </c>
      <c r="G1437" s="455" t="s">
        <v>1556</v>
      </c>
      <c r="H1437" s="7" t="s">
        <v>889</v>
      </c>
      <c r="I1437" s="256"/>
      <c r="J1437" s="256"/>
      <c r="K1437" s="565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57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2"/>
      <c r="AC1437" s="557"/>
      <c r="AD1437" s="211" t="str">
        <f>IF(VLOOKUP(H1437,DSKH,1,0)=H1437,"","x")</f>
        <v/>
      </c>
    </row>
    <row r="1438" spans="1:30" s="211" customFormat="1" ht="15.75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1318</v>
      </c>
      <c r="H1438" s="193"/>
      <c r="I1438" s="256"/>
      <c r="J1438" s="256"/>
      <c r="K1438" s="565">
        <v>500</v>
      </c>
      <c r="L1438" s="566" t="s">
        <v>24</v>
      </c>
      <c r="M1438" s="566" t="s">
        <v>40</v>
      </c>
      <c r="N1438" s="52" t="str">
        <f>IF(AND('331-CT'!$E$7=TH!H1438,OR(L1438="331",M1438="331")),"331",IF(AND(OR(L1438="131",M1438="131"),H1438='131-CT'!$E$7),"131",""))</f>
        <v/>
      </c>
      <c r="O1438" s="857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2"/>
      <c r="AC1438" s="557"/>
    </row>
    <row r="1439" spans="1:30" s="211" customFormat="1" ht="15.75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1221</v>
      </c>
      <c r="E1439" s="184">
        <v>42643</v>
      </c>
      <c r="F1439" s="192" t="s">
        <v>706</v>
      </c>
      <c r="G1439" s="453" t="s">
        <v>1317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57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2">
        <v>3</v>
      </c>
      <c r="AC1439" s="557"/>
      <c r="AD1439" s="211" t="str">
        <f>IF(VLOOKUP(H1439,DSKH,1,0)=H1439,"","x")</f>
        <v/>
      </c>
    </row>
    <row r="1440" spans="1:30" s="211" customFormat="1" ht="15.75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1219</v>
      </c>
      <c r="E1440" s="184">
        <v>42643</v>
      </c>
      <c r="F1440" s="189" t="s">
        <v>714</v>
      </c>
      <c r="G1440" s="453" t="s">
        <v>1317</v>
      </c>
      <c r="H1440" s="7" t="s">
        <v>855</v>
      </c>
      <c r="I1440" s="256"/>
      <c r="J1440" s="256"/>
      <c r="K1440" s="565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57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2">
        <v>3</v>
      </c>
      <c r="AC1440" s="557"/>
      <c r="AD1440" s="211" t="str">
        <f>IF(VLOOKUP(H1440,DSKH,1,0)=H1440,"","x")</f>
        <v/>
      </c>
    </row>
    <row r="1441" spans="1:33" s="211" customFormat="1" ht="15.75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1577</v>
      </c>
      <c r="E1441" s="184">
        <v>42643</v>
      </c>
      <c r="F1441" s="189" t="s">
        <v>844</v>
      </c>
      <c r="G1441" s="456" t="s">
        <v>1555</v>
      </c>
      <c r="H1441" s="750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57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0">
        <v>4</v>
      </c>
      <c r="AC1441" s="557"/>
      <c r="AD1441" s="211" t="str">
        <f>IF(VLOOKUP(H1441,DSKH,1,0)=H1441,"","x")</f>
        <v/>
      </c>
      <c r="AF1441" s="557"/>
      <c r="AG1441" s="557"/>
    </row>
    <row r="1442" spans="1:33" s="211" customFormat="1" ht="15.75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1555</v>
      </c>
      <c r="H1442" s="750" t="s">
        <v>716</v>
      </c>
      <c r="I1442" s="256"/>
      <c r="J1442" s="256"/>
      <c r="K1442" s="565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57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0">
        <v>4</v>
      </c>
      <c r="AC1442" s="557"/>
      <c r="AD1442" s="211" t="str">
        <f>IF(VLOOKUP(H1442,DSKH,1,0)=H1442,"","x")</f>
        <v/>
      </c>
      <c r="AF1442" s="557"/>
      <c r="AG1442" s="557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1555</v>
      </c>
      <c r="H1443" s="750" t="s">
        <v>716</v>
      </c>
      <c r="I1443" s="256"/>
      <c r="J1443" s="256"/>
      <c r="K1443" s="565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57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1"/>
      <c r="AC1443" s="557"/>
      <c r="AD1443" s="557"/>
      <c r="AF1443" s="557"/>
      <c r="AG1443" s="557"/>
    </row>
    <row r="1444" spans="1:33" s="211" customFormat="1" ht="15.75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7" t="s">
        <v>816</v>
      </c>
      <c r="I1444" s="256"/>
      <c r="J1444" s="256"/>
      <c r="K1444" s="565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57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2"/>
      <c r="AC1444" s="557"/>
    </row>
    <row r="1445" spans="1:33" s="211" customFormat="1" ht="15.75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3"/>
      <c r="J1445" s="703"/>
      <c r="K1445" s="565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57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2"/>
      <c r="AC1445" s="557"/>
      <c r="AD1445" s="557"/>
    </row>
    <row r="1446" spans="1:33" s="211" customFormat="1" ht="15.75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1313</v>
      </c>
      <c r="I1446" s="703"/>
      <c r="J1446" s="703"/>
      <c r="K1446" s="565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57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2"/>
      <c r="AC1446" s="557"/>
    </row>
    <row r="1447" spans="1:33" s="211" customFormat="1" ht="15.75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3"/>
      <c r="J1447" s="703"/>
      <c r="K1447" s="565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57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2"/>
      <c r="AC1447" s="557"/>
      <c r="AD1447" s="557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3"/>
      <c r="J1448" s="703"/>
      <c r="K1448" s="565">
        <v>30000000</v>
      </c>
      <c r="L1448" s="194" t="s">
        <v>8</v>
      </c>
      <c r="M1448" s="566" t="s">
        <v>24</v>
      </c>
      <c r="N1448" s="52" t="str">
        <f>IF(AND('331-CT'!$E$7=TH!H1448,OR(L1448="331",M1448="331")),"331",IF(AND(OR(L1448="131",M1448="131"),H1448='131-CT'!$E$7),"131",""))</f>
        <v/>
      </c>
      <c r="O1448" s="857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2"/>
      <c r="AC1448" s="557"/>
      <c r="AD1448" s="557"/>
    </row>
    <row r="1449" spans="1:33" s="211" customFormat="1" ht="15.75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3"/>
      <c r="J1449" s="703"/>
      <c r="K1449" s="565">
        <v>13636</v>
      </c>
      <c r="L1449" s="566" t="s">
        <v>83</v>
      </c>
      <c r="M1449" s="566" t="s">
        <v>24</v>
      </c>
      <c r="N1449" s="52" t="str">
        <f>IF(AND('331-CT'!$E$7=TH!H1449,OR(L1449="331",M1449="331")),"331",IF(AND(OR(L1449="131",M1449="131"),H1449='131-CT'!$E$7),"131",""))</f>
        <v/>
      </c>
      <c r="O1449" s="857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1">
        <v>4</v>
      </c>
      <c r="AC1449" s="557"/>
    </row>
    <row r="1450" spans="1:33" s="211" customFormat="1" ht="15.75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3"/>
      <c r="J1450" s="703"/>
      <c r="K1450" s="565">
        <v>1364</v>
      </c>
      <c r="L1450" s="194" t="s">
        <v>9</v>
      </c>
      <c r="M1450" s="566" t="s">
        <v>24</v>
      </c>
      <c r="N1450" s="52" t="str">
        <f>IF(AND('331-CT'!$E$7=TH!H1450,OR(L1450="331",M1450="331")),"331",IF(AND(OR(L1450="131",M1450="131"),H1450='131-CT'!$E$7),"131",""))</f>
        <v/>
      </c>
      <c r="O1450" s="857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1">
        <v>4</v>
      </c>
      <c r="AC1450" s="557"/>
      <c r="AD1450" s="557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3"/>
      <c r="J1451" s="703"/>
      <c r="K1451" s="565">
        <v>20000000</v>
      </c>
      <c r="L1451" s="194" t="s">
        <v>8</v>
      </c>
      <c r="M1451" s="566" t="s">
        <v>24</v>
      </c>
      <c r="N1451" s="52" t="str">
        <f>IF(AND('331-CT'!$E$7=TH!H1451,OR(L1451="331",M1451="331")),"331",IF(AND(OR(L1451="131",M1451="131"),H1451='131-CT'!$E$7),"131",""))</f>
        <v/>
      </c>
      <c r="O1451" s="857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2"/>
      <c r="AC1451" s="557"/>
    </row>
    <row r="1452" spans="1:33" s="211" customFormat="1" ht="15.75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3"/>
      <c r="J1452" s="703"/>
      <c r="K1452" s="565">
        <v>13636</v>
      </c>
      <c r="L1452" s="566" t="s">
        <v>83</v>
      </c>
      <c r="M1452" s="566" t="s">
        <v>24</v>
      </c>
      <c r="N1452" s="52" t="str">
        <f>IF(AND('331-CT'!$E$7=TH!H1452,OR(L1452="331",M1452="331")),"331",IF(AND(OR(L1452="131",M1452="131"),H1452='131-CT'!$E$7),"131",""))</f>
        <v/>
      </c>
      <c r="O1452" s="857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1">
        <v>4</v>
      </c>
      <c r="AC1452" s="557"/>
      <c r="AD1452" s="557"/>
    </row>
    <row r="1453" spans="1:33" s="211" customFormat="1" ht="15.75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3"/>
      <c r="J1453" s="703"/>
      <c r="K1453" s="565">
        <v>1364</v>
      </c>
      <c r="L1453" s="194" t="s">
        <v>9</v>
      </c>
      <c r="M1453" s="566" t="s">
        <v>24</v>
      </c>
      <c r="N1453" s="52" t="str">
        <f>IF(AND('331-CT'!$E$7=TH!H1453,OR(L1453="331",M1453="331")),"331",IF(AND(OR(L1453="131",M1453="131"),H1453='131-CT'!$E$7),"131",""))</f>
        <v/>
      </c>
      <c r="O1453" s="857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1">
        <v>4</v>
      </c>
      <c r="AC1453" s="557"/>
    </row>
    <row r="1454" spans="1:33" s="211" customFormat="1" ht="15.75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3"/>
      <c r="J1454" s="703"/>
      <c r="K1454" s="565">
        <v>13636</v>
      </c>
      <c r="L1454" s="566" t="s">
        <v>83</v>
      </c>
      <c r="M1454" s="566" t="s">
        <v>24</v>
      </c>
      <c r="N1454" s="52" t="str">
        <f>IF(AND('331-CT'!$E$7=TH!H1454,OR(L1454="331",M1454="331")),"331",IF(AND(OR(L1454="131",M1454="131"),H1454='131-CT'!$E$7),"131",""))</f>
        <v/>
      </c>
      <c r="O1454" s="857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1">
        <v>4</v>
      </c>
      <c r="AC1454" s="557"/>
      <c r="AD1454" s="557"/>
    </row>
    <row r="1455" spans="1:33" s="211" customFormat="1" ht="15.75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3"/>
      <c r="J1455" s="703"/>
      <c r="K1455" s="565">
        <v>1364</v>
      </c>
      <c r="L1455" s="194" t="s">
        <v>9</v>
      </c>
      <c r="M1455" s="566" t="s">
        <v>24</v>
      </c>
      <c r="N1455" s="52" t="str">
        <f>IF(AND('331-CT'!$E$7=TH!H1455,OR(L1455="331",M1455="331")),"331",IF(AND(OR(L1455="131",M1455="131"),H1455='131-CT'!$E$7),"131",""))</f>
        <v/>
      </c>
      <c r="O1455" s="857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1">
        <v>4</v>
      </c>
      <c r="AC1455" s="557"/>
    </row>
    <row r="1456" spans="1:33" s="211" customFormat="1" ht="15.75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3"/>
      <c r="J1456" s="703"/>
      <c r="K1456" s="565">
        <v>13636</v>
      </c>
      <c r="L1456" s="566" t="s">
        <v>83</v>
      </c>
      <c r="M1456" s="566" t="s">
        <v>24</v>
      </c>
      <c r="N1456" s="52" t="str">
        <f>IF(AND('331-CT'!$E$7=TH!H1456,OR(L1456="331",M1456="331")),"331",IF(AND(OR(L1456="131",M1456="131"),H1456='131-CT'!$E$7),"131",""))</f>
        <v/>
      </c>
      <c r="O1456" s="857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1">
        <v>4</v>
      </c>
      <c r="AC1456" s="557"/>
      <c r="AD1456" s="557"/>
    </row>
    <row r="1457" spans="1:33" s="211" customFormat="1" ht="15.75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3"/>
      <c r="J1457" s="703"/>
      <c r="K1457" s="565">
        <v>1364</v>
      </c>
      <c r="L1457" s="194" t="s">
        <v>9</v>
      </c>
      <c r="M1457" s="566" t="s">
        <v>24</v>
      </c>
      <c r="N1457" s="52" t="str">
        <f>IF(AND('331-CT'!$E$7=TH!H1457,OR(L1457="331",M1457="331")),"331",IF(AND(OR(L1457="131",M1457="131"),H1457='131-CT'!$E$7),"131",""))</f>
        <v/>
      </c>
      <c r="O1457" s="857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1">
        <v>4</v>
      </c>
      <c r="AC1457" s="557"/>
      <c r="AD1457" s="557"/>
    </row>
    <row r="1458" spans="1:33" s="211" customFormat="1" ht="15.75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3"/>
      <c r="J1458" s="703"/>
      <c r="K1458" s="565">
        <v>2000000</v>
      </c>
      <c r="L1458" s="194" t="s">
        <v>47</v>
      </c>
      <c r="M1458" s="566" t="s">
        <v>24</v>
      </c>
      <c r="N1458" s="52" t="str">
        <f>IF(AND('331-CT'!$E$7=TH!H1458,OR(L1458="331",M1458="331")),"331",IF(AND(OR(L1458="131",M1458="131"),H1458='131-CT'!$E$7),"131",""))</f>
        <v/>
      </c>
      <c r="O1458" s="857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2"/>
      <c r="AC1458" s="557"/>
    </row>
    <row r="1459" spans="1:33" s="211" customFormat="1" ht="15.75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3"/>
      <c r="J1459" s="703"/>
      <c r="K1459" s="565">
        <v>13636</v>
      </c>
      <c r="L1459" s="566" t="s">
        <v>83</v>
      </c>
      <c r="M1459" s="566" t="s">
        <v>24</v>
      </c>
      <c r="N1459" s="52" t="str">
        <f>IF(AND('331-CT'!$E$7=TH!H1459,OR(L1459="331",M1459="331")),"331",IF(AND(OR(L1459="131",M1459="131"),H1459='131-CT'!$E$7),"131",""))</f>
        <v/>
      </c>
      <c r="O1459" s="857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1">
        <v>4</v>
      </c>
      <c r="AC1459" s="557"/>
      <c r="AD1459" s="557"/>
    </row>
    <row r="1460" spans="1:33" s="211" customFormat="1" ht="15.75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3"/>
      <c r="J1460" s="703"/>
      <c r="K1460" s="565">
        <v>1364</v>
      </c>
      <c r="L1460" s="194" t="s">
        <v>9</v>
      </c>
      <c r="M1460" s="566" t="s">
        <v>24</v>
      </c>
      <c r="N1460" s="52" t="str">
        <f>IF(AND('331-CT'!$E$7=TH!H1460,OR(L1460="331",M1460="331")),"331",IF(AND(OR(L1460="131",M1460="131"),H1460='131-CT'!$E$7),"131",""))</f>
        <v/>
      </c>
      <c r="O1460" s="857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1">
        <v>4</v>
      </c>
      <c r="AC1460" s="557"/>
    </row>
    <row r="1461" spans="1:33" s="211" customFormat="1" ht="15.75" customHeight="1">
      <c r="A1461" s="204" t="str">
        <f>IF(B1461&lt;&gt;"",IF(AND(B1461&gt;=_TM1,B1461&lt;=_TM2,OR(TH!L1675="1111",TH!M1675="1111")),TH!D1675,""),"")</f>
        <v/>
      </c>
      <c r="B1461" s="36">
        <f t="shared" si="66"/>
        <v>10</v>
      </c>
      <c r="C1461" s="184">
        <f t="shared" si="65"/>
        <v>42648</v>
      </c>
      <c r="D1461" s="184" t="s">
        <v>1107</v>
      </c>
      <c r="E1461" s="37">
        <v>42648</v>
      </c>
      <c r="F1461" s="189" t="s">
        <v>1465</v>
      </c>
      <c r="G1461" s="456" t="s">
        <v>1576</v>
      </c>
      <c r="H1461" s="7" t="s">
        <v>645</v>
      </c>
      <c r="I1461" s="703">
        <v>50</v>
      </c>
      <c r="J1461" s="703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57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1"/>
      <c r="AC1461" s="557" t="str">
        <f>IF(VLOOKUP(F1461,NXT!$C$35:$C$411,1,0)=F1461,"","x")</f>
        <v/>
      </c>
      <c r="AD1461" s="557"/>
    </row>
    <row r="1462" spans="1:33" s="211" customFormat="1" ht="15.75" customHeight="1">
      <c r="A1462" s="204" t="str">
        <f>IF(B1462&lt;&gt;"",IF(AND(B1462&gt;=_TM1,B1462&lt;=_TM2,OR(TH!L1676="1111",TH!M1676="1111")),TH!D1676,""),"")</f>
        <v/>
      </c>
      <c r="B1462" s="36">
        <f t="shared" si="66"/>
        <v>10</v>
      </c>
      <c r="C1462" s="184">
        <f t="shared" si="65"/>
        <v>42648</v>
      </c>
      <c r="D1462" s="184" t="s">
        <v>1107</v>
      </c>
      <c r="E1462" s="37">
        <v>42648</v>
      </c>
      <c r="F1462" s="40" t="s">
        <v>1285</v>
      </c>
      <c r="G1462" s="456" t="s">
        <v>1576</v>
      </c>
      <c r="H1462" s="7" t="s">
        <v>645</v>
      </c>
      <c r="I1462" s="703"/>
      <c r="J1462" s="703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57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1"/>
      <c r="AC1462" s="557"/>
      <c r="AD1462" s="557"/>
    </row>
    <row r="1463" spans="1:33" s="211" customFormat="1" ht="15.75" customHeight="1">
      <c r="A1463" s="924" t="str">
        <f>IF(B1463&lt;&gt;"",IF(AND(B1463&gt;=_TM1,B1463&lt;=_TM2,OR(TH!L592="1111",TH!M592="1111")),TH!D592,""),"")</f>
        <v/>
      </c>
      <c r="B1463" s="818">
        <f t="shared" si="66"/>
        <v>10</v>
      </c>
      <c r="C1463" s="819">
        <f t="shared" si="65"/>
        <v>42649</v>
      </c>
      <c r="D1463" s="819" t="s">
        <v>699</v>
      </c>
      <c r="E1463" s="820">
        <v>42649</v>
      </c>
      <c r="F1463" s="828" t="s">
        <v>1321</v>
      </c>
      <c r="G1463" s="821" t="s">
        <v>1318</v>
      </c>
      <c r="H1463" s="926" t="s">
        <v>1496</v>
      </c>
      <c r="I1463" s="944"/>
      <c r="J1463" s="944"/>
      <c r="K1463" s="825">
        <v>50000000</v>
      </c>
      <c r="L1463" s="931" t="s">
        <v>24</v>
      </c>
      <c r="M1463" s="931" t="s">
        <v>790</v>
      </c>
      <c r="N1463" s="52" t="str">
        <f>IF(AND('331-CT'!$E$7=TH!H1463,OR(L1463="331",M1463="331")),"331",IF(AND(OR(L1463="131",M1463="131"),H1463='131-CT'!$E$7),"131",""))</f>
        <v/>
      </c>
      <c r="O1463" s="857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3"/>
      <c r="AC1463" s="826"/>
      <c r="AD1463" s="826"/>
      <c r="AE1463" s="827"/>
      <c r="AF1463" s="827"/>
      <c r="AG1463" s="827"/>
    </row>
    <row r="1464" spans="1:33" s="211" customFormat="1" ht="15.75" customHeight="1">
      <c r="A1464" s="924" t="str">
        <f>IF(B1464&lt;&gt;"",IF(AND(B1464&gt;=_TM1,B1464&lt;=_TM2,OR(TH!L593="1111",TH!M593="1111")),TH!D593,""),"")</f>
        <v/>
      </c>
      <c r="B1464" s="818">
        <f t="shared" si="66"/>
        <v>10</v>
      </c>
      <c r="C1464" s="819">
        <f t="shared" si="65"/>
        <v>42649</v>
      </c>
      <c r="D1464" s="819" t="s">
        <v>699</v>
      </c>
      <c r="E1464" s="820">
        <v>42649</v>
      </c>
      <c r="F1464" s="828" t="s">
        <v>701</v>
      </c>
      <c r="G1464" s="821" t="s">
        <v>1318</v>
      </c>
      <c r="H1464" s="926" t="s">
        <v>1496</v>
      </c>
      <c r="I1464" s="944"/>
      <c r="J1464" s="944"/>
      <c r="K1464" s="825">
        <v>50000000</v>
      </c>
      <c r="L1464" s="931" t="s">
        <v>8</v>
      </c>
      <c r="M1464" s="931" t="s">
        <v>24</v>
      </c>
      <c r="N1464" s="52" t="str">
        <f>IF(AND('331-CT'!$E$7=TH!H1464,OR(L1464="331",M1464="331")),"331",IF(AND(OR(L1464="131",M1464="131"),H1464='131-CT'!$E$7),"131",""))</f>
        <v/>
      </c>
      <c r="O1464" s="857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3"/>
      <c r="AC1464" s="826"/>
      <c r="AD1464" s="826"/>
      <c r="AE1464" s="827"/>
      <c r="AF1464" s="827"/>
      <c r="AG1464" s="827"/>
    </row>
    <row r="1465" spans="1:33" s="211" customFormat="1" ht="15.75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1318</v>
      </c>
      <c r="H1465" s="193"/>
      <c r="I1465" s="703"/>
      <c r="J1465" s="945"/>
      <c r="K1465" s="565">
        <v>31818</v>
      </c>
      <c r="L1465" s="566" t="s">
        <v>83</v>
      </c>
      <c r="M1465" s="566" t="s">
        <v>24</v>
      </c>
      <c r="N1465" s="52" t="str">
        <f>IF(AND('331-CT'!$E$7=TH!H1465,OR(L1465="331",M1465="331")),"331",IF(AND(OR(L1465="131",M1465="131"),H1465='131-CT'!$E$7),"131",""))</f>
        <v/>
      </c>
      <c r="O1465" s="857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2">
        <v>4</v>
      </c>
      <c r="AC1465" s="557"/>
      <c r="AD1465" s="557"/>
    </row>
    <row r="1466" spans="1:33" s="211" customFormat="1" ht="15.75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1318</v>
      </c>
      <c r="H1466" s="193"/>
      <c r="I1466" s="703"/>
      <c r="J1466" s="256"/>
      <c r="K1466" s="565">
        <v>3182</v>
      </c>
      <c r="L1466" s="194" t="s">
        <v>9</v>
      </c>
      <c r="M1466" s="566" t="s">
        <v>24</v>
      </c>
      <c r="N1466" s="52" t="str">
        <f>IF(AND('331-CT'!$E$7=TH!H1466,OR(L1466="331",M1466="331")),"331",IF(AND(OR(L1466="131",M1466="131"),H1466='131-CT'!$E$7),"131",""))</f>
        <v/>
      </c>
      <c r="O1466" s="857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2">
        <v>4</v>
      </c>
      <c r="AC1466" s="557"/>
      <c r="AD1466" s="557"/>
    </row>
    <row r="1467" spans="1:33" s="211" customFormat="1" ht="15.75" customHeight="1">
      <c r="A1467" s="204" t="str">
        <f>IF(B1467&lt;&gt;"",IF(AND(B1467&gt;=_TM1,B1467&lt;=_TM2,OR(TH!L1677="1111",TH!M1677="1111")),TH!D1677,""),"")</f>
        <v/>
      </c>
      <c r="B1467" s="36">
        <f t="shared" si="66"/>
        <v>10</v>
      </c>
      <c r="C1467" s="184">
        <f t="shared" si="65"/>
        <v>42649</v>
      </c>
      <c r="D1467" s="184" t="s">
        <v>1108</v>
      </c>
      <c r="E1467" s="37">
        <v>42649</v>
      </c>
      <c r="F1467" s="40" t="s">
        <v>1334</v>
      </c>
      <c r="G1467" s="456" t="s">
        <v>1333</v>
      </c>
      <c r="H1467" s="7" t="s">
        <v>811</v>
      </c>
      <c r="I1467" s="703">
        <v>1018</v>
      </c>
      <c r="J1467" s="703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57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1"/>
      <c r="AC1467" s="557" t="str">
        <f>IF(VLOOKUP(F1467,NXT!$C$35:$C$411,1,0)=F1467,"","x")</f>
        <v/>
      </c>
      <c r="AD1467" s="557"/>
    </row>
    <row r="1468" spans="1:33" s="211" customFormat="1" ht="15.75" customHeight="1">
      <c r="A1468" s="204" t="str">
        <f>IF(B1468&lt;&gt;"",IF(AND(B1468&gt;=_TM1,B1468&lt;=_TM2,OR(TH!L1678="1111",TH!M1678="1111")),TH!D1678,""),"")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1108</v>
      </c>
      <c r="E1468" s="37">
        <v>42649</v>
      </c>
      <c r="F1468" s="942" t="s">
        <v>1335</v>
      </c>
      <c r="G1468" s="456" t="s">
        <v>1333</v>
      </c>
      <c r="H1468" s="7" t="s">
        <v>811</v>
      </c>
      <c r="I1468" s="703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57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1"/>
      <c r="AC1468" s="557" t="str">
        <f>IF(VLOOKUP(F1468,NXT!$C$35:$C$411,1,0)=F1468,"","x")</f>
        <v/>
      </c>
      <c r="AD1468" s="557"/>
    </row>
    <row r="1469" spans="1:33" s="211" customFormat="1" ht="15.75" customHeight="1">
      <c r="A1469" s="204" t="str">
        <f>IF(B1469&lt;&gt;"",IF(AND(B1469&gt;=_TM1,B1469&lt;=_TM2,OR(TH!L1679="1111",TH!M1679="1111")),TH!D1679,""),"")</f>
        <v/>
      </c>
      <c r="B1469" s="36">
        <f t="shared" si="66"/>
        <v>10</v>
      </c>
      <c r="C1469" s="184">
        <f t="shared" si="67"/>
        <v>42649</v>
      </c>
      <c r="D1469" s="184" t="s">
        <v>1108</v>
      </c>
      <c r="E1469" s="37">
        <v>42649</v>
      </c>
      <c r="F1469" s="40" t="s">
        <v>1285</v>
      </c>
      <c r="G1469" s="456" t="s">
        <v>1333</v>
      </c>
      <c r="H1469" s="7" t="s">
        <v>811</v>
      </c>
      <c r="I1469" s="703"/>
      <c r="J1469" s="703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57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1"/>
      <c r="AC1469" s="557"/>
    </row>
    <row r="1470" spans="1:33" s="211" customFormat="1" ht="15.75" customHeight="1">
      <c r="A1470" s="204" t="str">
        <f>IF(B1470&lt;&gt;"",IF(AND(B1470&gt;=_TM1,B1470&lt;=_TM2,OR(TH!L1598="1111",TH!M1598="1111")),TH!D1598,""),"")</f>
        <v/>
      </c>
      <c r="B1470" s="36">
        <f t="shared" si="66"/>
        <v>10</v>
      </c>
      <c r="C1470" s="184">
        <f t="shared" si="67"/>
        <v>42650</v>
      </c>
      <c r="D1470" s="184" t="s">
        <v>1216</v>
      </c>
      <c r="E1470" s="191">
        <v>42650</v>
      </c>
      <c r="F1470" s="189" t="s">
        <v>1451</v>
      </c>
      <c r="G1470" s="456" t="s">
        <v>1452</v>
      </c>
      <c r="H1470" s="7" t="s">
        <v>886</v>
      </c>
      <c r="I1470" s="709">
        <v>1120</v>
      </c>
      <c r="J1470" s="709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57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0">
        <v>4</v>
      </c>
      <c r="AC1470" s="557"/>
      <c r="AD1470" s="557"/>
    </row>
    <row r="1471" spans="1:33" s="211" customFormat="1" ht="15.75" customHeight="1">
      <c r="A1471" s="204" t="str">
        <f>IF(B1471&lt;&gt;"",IF(AND(B1471&gt;=_TM1,B1471&lt;=_TM2,OR(TH!L1599="1111",TH!M1599="1111")),TH!D1599,""),"")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1216</v>
      </c>
      <c r="E1471" s="191">
        <v>42650</v>
      </c>
      <c r="F1471" s="189" t="s">
        <v>1453</v>
      </c>
      <c r="G1471" s="456" t="s">
        <v>1452</v>
      </c>
      <c r="H1471" s="7" t="s">
        <v>886</v>
      </c>
      <c r="I1471" s="709">
        <v>3458</v>
      </c>
      <c r="J1471" s="709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57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0">
        <v>4</v>
      </c>
      <c r="AC1471" s="557"/>
      <c r="AD1471" s="557"/>
    </row>
    <row r="1472" spans="1:33" s="211" customFormat="1" ht="15.75" customHeight="1">
      <c r="A1472" s="204" t="str">
        <f>IF(B1472&lt;&gt;"",IF(AND(B1472&gt;=_TM1,B1472&lt;=_TM2,OR(TH!L1600="1111",TH!M1600="1111")),TH!D1600,""),"")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2" t="s">
        <v>714</v>
      </c>
      <c r="G1472" s="456" t="s">
        <v>1452</v>
      </c>
      <c r="H1472" s="7" t="s">
        <v>886</v>
      </c>
      <c r="I1472" s="709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57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0">
        <v>4</v>
      </c>
      <c r="AC1472" s="557"/>
    </row>
    <row r="1473" spans="1:30" s="211" customFormat="1" ht="15.75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1493</v>
      </c>
      <c r="G1473" s="192" t="s">
        <v>1318</v>
      </c>
      <c r="H1473" s="193"/>
      <c r="I1473" s="703"/>
      <c r="J1473" s="703"/>
      <c r="K1473" s="565">
        <v>40000</v>
      </c>
      <c r="L1473" s="566" t="s">
        <v>83</v>
      </c>
      <c r="M1473" s="566" t="s">
        <v>24</v>
      </c>
      <c r="N1473" s="52" t="str">
        <f>IF(AND('331-CT'!$E$7=TH!H1473,OR(L1473="331",M1473="331")),"331",IF(AND(OR(L1473="131",M1473="131"),H1473='131-CT'!$E$7),"131",""))</f>
        <v/>
      </c>
      <c r="O1473" s="857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2">
        <v>4</v>
      </c>
      <c r="AC1473" s="557"/>
      <c r="AD1473" s="557"/>
    </row>
    <row r="1474" spans="1:30" s="211" customFormat="1" ht="15.75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1494</v>
      </c>
      <c r="G1474" s="192" t="s">
        <v>1318</v>
      </c>
      <c r="H1474" s="193"/>
      <c r="I1474" s="703"/>
      <c r="J1474" s="703"/>
      <c r="K1474" s="565">
        <v>4000</v>
      </c>
      <c r="L1474" s="194" t="s">
        <v>9</v>
      </c>
      <c r="M1474" s="566" t="s">
        <v>24</v>
      </c>
      <c r="N1474" s="52" t="str">
        <f>IF(AND('331-CT'!$E$7=TH!H1474,OR(L1474="331",M1474="331")),"331",IF(AND(OR(L1474="131",M1474="131"),H1474='131-CT'!$E$7),"131",""))</f>
        <v/>
      </c>
      <c r="O1474" s="857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2">
        <v>4</v>
      </c>
      <c r="AC1474" s="557"/>
      <c r="AD1474" s="557"/>
    </row>
    <row r="1475" spans="1:30" s="211" customFormat="1" ht="15.75" customHeight="1">
      <c r="A1475" s="204" t="str">
        <f>IF(B1475&lt;&gt;"",IF(AND(B1475&gt;=_TM1,B1475&lt;=_TM2,OR(TH!L1680="1111",TH!M1680="1111")),TH!D1680,""),"")</f>
        <v>GBN</v>
      </c>
      <c r="B1475" s="36">
        <f t="shared" si="68"/>
        <v>10</v>
      </c>
      <c r="C1475" s="184">
        <f t="shared" si="67"/>
        <v>42651</v>
      </c>
      <c r="D1475" s="184" t="s">
        <v>1109</v>
      </c>
      <c r="E1475" s="37">
        <v>42651</v>
      </c>
      <c r="F1475" s="40" t="s">
        <v>1286</v>
      </c>
      <c r="G1475" s="456" t="s">
        <v>1336</v>
      </c>
      <c r="H1475" s="7" t="s">
        <v>421</v>
      </c>
      <c r="I1475" s="703">
        <v>926</v>
      </c>
      <c r="J1475" s="703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57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1"/>
      <c r="AC1475" s="557" t="str">
        <f>IF(VLOOKUP(F1475,NXT!$C$35:$C$411,1,0)=F1475,"","x")</f>
        <v/>
      </c>
      <c r="AD1475" s="557"/>
    </row>
    <row r="1476" spans="1:30" s="211" customFormat="1" ht="15.75" customHeight="1">
      <c r="A1476" s="204" t="str">
        <f>IF(B1476&lt;&gt;"",IF(AND(B1476&gt;=_TM1,B1476&lt;=_TM2,OR(TH!L1681="1111",TH!M1681="1111")),TH!D1681,""),"")</f>
        <v/>
      </c>
      <c r="B1476" s="36">
        <f t="shared" si="68"/>
        <v>10</v>
      </c>
      <c r="C1476" s="184">
        <f t="shared" si="67"/>
        <v>42651</v>
      </c>
      <c r="D1476" s="184" t="s">
        <v>1109</v>
      </c>
      <c r="E1476" s="37">
        <v>42651</v>
      </c>
      <c r="F1476" s="40" t="s">
        <v>1285</v>
      </c>
      <c r="G1476" s="456" t="s">
        <v>1336</v>
      </c>
      <c r="H1476" s="7" t="s">
        <v>421</v>
      </c>
      <c r="I1476" s="703"/>
      <c r="J1476" s="703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57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1"/>
      <c r="AC1476" s="557"/>
    </row>
    <row r="1477" spans="1:30" s="211" customFormat="1" ht="15.75" customHeight="1">
      <c r="A1477" s="204" t="str">
        <f>IF(B1477&lt;&gt;"",IF(AND(B1477&gt;=_TM1,B1477&lt;=_TM2,OR(TH!L1682="1111",TH!M1682="1111")),TH!D1682,""),"")</f>
        <v/>
      </c>
      <c r="B1477" s="36">
        <f t="shared" si="68"/>
        <v>10</v>
      </c>
      <c r="C1477" s="184">
        <f t="shared" si="67"/>
        <v>42651</v>
      </c>
      <c r="D1477" s="184" t="s">
        <v>1110</v>
      </c>
      <c r="E1477" s="37">
        <v>42651</v>
      </c>
      <c r="F1477" s="189" t="s">
        <v>1337</v>
      </c>
      <c r="G1477" s="456" t="s">
        <v>854</v>
      </c>
      <c r="H1477" s="7" t="s">
        <v>645</v>
      </c>
      <c r="I1477" s="703">
        <v>140</v>
      </c>
      <c r="J1477" s="703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57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1"/>
      <c r="AC1477" s="557" t="str">
        <f>IF(VLOOKUP(F1477,NXT!$C$35:$C$411,1,0)=F1477,"","x")</f>
        <v/>
      </c>
      <c r="AD1477" s="557"/>
    </row>
    <row r="1478" spans="1:30" s="211" customFormat="1" ht="15.75" customHeight="1">
      <c r="A1478" s="204" t="str">
        <f>IF(B1478&lt;&gt;"",IF(AND(B1478&gt;=_TM1,B1478&lt;=_TM2,OR(TH!L1683="1111",TH!M1683="1111")),TH!D1683,""),"")</f>
        <v/>
      </c>
      <c r="B1478" s="36">
        <f t="shared" si="68"/>
        <v>10</v>
      </c>
      <c r="C1478" s="184">
        <f t="shared" si="67"/>
        <v>42651</v>
      </c>
      <c r="D1478" s="184" t="s">
        <v>1110</v>
      </c>
      <c r="E1478" s="37">
        <v>42651</v>
      </c>
      <c r="F1478" s="189" t="s">
        <v>1338</v>
      </c>
      <c r="G1478" s="456" t="s">
        <v>854</v>
      </c>
      <c r="H1478" s="7" t="s">
        <v>645</v>
      </c>
      <c r="I1478" s="703">
        <v>140</v>
      </c>
      <c r="J1478" s="945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57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1"/>
      <c r="AC1478" s="557" t="str">
        <f>IF(VLOOKUP(F1478,NXT!$C$35:$C$411,1,0)=F1478,"","x")</f>
        <v/>
      </c>
      <c r="AD1478" s="557"/>
    </row>
    <row r="1479" spans="1:30" s="211" customFormat="1" ht="15.75" customHeight="1">
      <c r="A1479" s="204" t="str">
        <f>IF(B1479&lt;&gt;"",IF(AND(B1479&gt;=_TM1,B1479&lt;=_TM2,OR(TH!L1684="1111",TH!M1684="1111")),TH!D1684,""),"")</f>
        <v/>
      </c>
      <c r="B1479" s="36">
        <f t="shared" si="68"/>
        <v>10</v>
      </c>
      <c r="C1479" s="184">
        <f t="shared" si="67"/>
        <v>42651</v>
      </c>
      <c r="D1479" s="184" t="s">
        <v>1110</v>
      </c>
      <c r="E1479" s="37">
        <v>42651</v>
      </c>
      <c r="F1479" s="189" t="s">
        <v>1341</v>
      </c>
      <c r="G1479" s="456" t="s">
        <v>854</v>
      </c>
      <c r="H1479" s="7" t="s">
        <v>645</v>
      </c>
      <c r="I1479" s="703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57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1"/>
      <c r="AC1479" s="557" t="str">
        <f>IF(VLOOKUP(F1479,NXT!$C$35:$C$411,1,0)=F1479,"","x")</f>
        <v/>
      </c>
    </row>
    <row r="1480" spans="1:30" s="211" customFormat="1" ht="15.75" customHeight="1">
      <c r="A1480" s="204" t="str">
        <f>IF(B1480&lt;&gt;"",IF(AND(B1480&gt;=_TM1,B1480&lt;=_TM2,OR(TH!L1685="1111",TH!M1685="1111")),TH!D1685,""),"")</f>
        <v/>
      </c>
      <c r="B1480" s="36">
        <f t="shared" si="68"/>
        <v>10</v>
      </c>
      <c r="C1480" s="184">
        <f t="shared" si="67"/>
        <v>42651</v>
      </c>
      <c r="D1480" s="184" t="s">
        <v>1110</v>
      </c>
      <c r="E1480" s="37">
        <v>42651</v>
      </c>
      <c r="F1480" s="189" t="s">
        <v>1339</v>
      </c>
      <c r="G1480" s="456" t="s">
        <v>854</v>
      </c>
      <c r="H1480" s="7" t="s">
        <v>645</v>
      </c>
      <c r="I1480" s="703">
        <v>140</v>
      </c>
      <c r="J1480" s="703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57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1"/>
      <c r="AC1480" s="557" t="str">
        <f>IF(VLOOKUP(F1480,NXT!$C$35:$C$411,1,0)=F1480,"","x")</f>
        <v/>
      </c>
      <c r="AD1480" s="557"/>
    </row>
    <row r="1481" spans="1:30" s="211" customFormat="1" ht="15.75" customHeight="1">
      <c r="A1481" s="204" t="str">
        <f>IF(B1481&lt;&gt;"",IF(AND(B1481&gt;=_TM1,B1481&lt;=_TM2,OR(TH!L1686="1111",TH!M1686="1111")),TH!D1686,""),"")</f>
        <v/>
      </c>
      <c r="B1481" s="36">
        <f t="shared" si="68"/>
        <v>10</v>
      </c>
      <c r="C1481" s="184">
        <f t="shared" si="67"/>
        <v>42651</v>
      </c>
      <c r="D1481" s="184" t="s">
        <v>1110</v>
      </c>
      <c r="E1481" s="37">
        <v>42651</v>
      </c>
      <c r="F1481" s="189" t="s">
        <v>1340</v>
      </c>
      <c r="G1481" s="456" t="s">
        <v>854</v>
      </c>
      <c r="H1481" s="7" t="s">
        <v>645</v>
      </c>
      <c r="I1481" s="703">
        <v>400</v>
      </c>
      <c r="J1481" s="945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57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1"/>
      <c r="AC1481" s="557" t="str">
        <f>IF(VLOOKUP(F1481,NXT!$C$35:$C$411,1,0)=F1481,"","x")</f>
        <v/>
      </c>
    </row>
    <row r="1482" spans="1:30" s="211" customFormat="1" ht="15.75" customHeight="1">
      <c r="A1482" s="204" t="str">
        <f>IF(B1482&lt;&gt;"",IF(AND(B1482&gt;=_TM1,B1482&lt;=_TM2,OR(TH!L1687="1111",TH!M1687="1111")),TH!D1687,""),"")</f>
        <v/>
      </c>
      <c r="B1482" s="36">
        <f t="shared" si="68"/>
        <v>10</v>
      </c>
      <c r="C1482" s="184">
        <f t="shared" si="67"/>
        <v>42651</v>
      </c>
      <c r="D1482" s="184" t="s">
        <v>1110</v>
      </c>
      <c r="E1482" s="37">
        <v>42651</v>
      </c>
      <c r="F1482" s="189" t="s">
        <v>1467</v>
      </c>
      <c r="G1482" s="456" t="s">
        <v>854</v>
      </c>
      <c r="H1482" s="7" t="s">
        <v>645</v>
      </c>
      <c r="I1482" s="703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57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1"/>
      <c r="AC1482" s="557" t="str">
        <f>IF(VLOOKUP(F1482,NXT!$C$35:$C$411,1,0)=F1482,"","x")</f>
        <v/>
      </c>
      <c r="AD1482" s="557"/>
    </row>
    <row r="1483" spans="1:30" s="211" customFormat="1" ht="15.75" customHeight="1">
      <c r="A1483" s="204" t="str">
        <f>IF(B1483&lt;&gt;"",IF(AND(B1483&gt;=_TM1,B1483&lt;=_TM2,OR(TH!L1688="1111",TH!M1688="1111")),TH!D1688,""),"")</f>
        <v/>
      </c>
      <c r="B1483" s="36">
        <f t="shared" si="68"/>
        <v>10</v>
      </c>
      <c r="C1483" s="184">
        <f t="shared" si="67"/>
        <v>42651</v>
      </c>
      <c r="D1483" s="184" t="s">
        <v>1110</v>
      </c>
      <c r="E1483" s="37">
        <v>42651</v>
      </c>
      <c r="F1483" s="192" t="s">
        <v>1477</v>
      </c>
      <c r="G1483" s="456" t="s">
        <v>854</v>
      </c>
      <c r="H1483" s="7" t="s">
        <v>645</v>
      </c>
      <c r="I1483" s="703">
        <v>170</v>
      </c>
      <c r="J1483" s="703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57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1"/>
      <c r="AC1483" s="557" t="str">
        <f>IF(VLOOKUP(F1483,NXT!$C$35:$C$411,1,0)=F1483,"","x")</f>
        <v/>
      </c>
      <c r="AD1483" s="557"/>
    </row>
    <row r="1484" spans="1:30" s="211" customFormat="1" ht="15.75" customHeight="1">
      <c r="A1484" s="204" t="str">
        <f>IF(B1484&lt;&gt;"",IF(AND(B1484&gt;=_TM1,B1484&lt;=_TM2,OR(TH!L1689="1111",TH!M1689="1111")),TH!D1689,""),"")</f>
        <v/>
      </c>
      <c r="B1484" s="36">
        <f t="shared" si="68"/>
        <v>10</v>
      </c>
      <c r="C1484" s="184">
        <f t="shared" si="67"/>
        <v>42651</v>
      </c>
      <c r="D1484" s="184" t="s">
        <v>1110</v>
      </c>
      <c r="E1484" s="37">
        <v>42651</v>
      </c>
      <c r="F1484" s="40" t="s">
        <v>1285</v>
      </c>
      <c r="G1484" s="456" t="s">
        <v>854</v>
      </c>
      <c r="H1484" s="7" t="s">
        <v>645</v>
      </c>
      <c r="I1484" s="703"/>
      <c r="J1484" s="703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57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1"/>
      <c r="AC1484" s="557"/>
      <c r="AD1484" s="557"/>
    </row>
    <row r="1485" spans="1:30" s="211" customFormat="1" ht="15.75" customHeight="1">
      <c r="A1485" s="204" t="str">
        <f>IF(B1485&lt;&gt;"",IF(AND(B1485&gt;=_TM1,B1485&lt;=_TM2,OR(TH!L1690="1111",TH!M1690="1111")),TH!D1690,""),"")</f>
        <v/>
      </c>
      <c r="B1485" s="36">
        <f t="shared" si="68"/>
        <v>10</v>
      </c>
      <c r="C1485" s="184">
        <f t="shared" si="67"/>
        <v>42653</v>
      </c>
      <c r="D1485" s="184" t="s">
        <v>1111</v>
      </c>
      <c r="E1485" s="37">
        <v>42653</v>
      </c>
      <c r="F1485" s="40" t="s">
        <v>1286</v>
      </c>
      <c r="G1485" s="456" t="s">
        <v>1575</v>
      </c>
      <c r="H1485" s="7" t="s">
        <v>421</v>
      </c>
      <c r="I1485" s="703">
        <v>320</v>
      </c>
      <c r="J1485" s="703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57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1"/>
      <c r="AC1485" s="557" t="str">
        <f>IF(VLOOKUP(F1485,NXT!$C$35:$C$411,1,0)=F1485,"","x")</f>
        <v/>
      </c>
      <c r="AD1485" s="557"/>
    </row>
    <row r="1486" spans="1:30" s="211" customFormat="1" ht="15.75" customHeight="1">
      <c r="A1486" s="204" t="str">
        <f>IF(B1486&lt;&gt;"",IF(AND(B1486&gt;=_TM1,B1486&lt;=_TM2,OR(TH!L1691="1111",TH!M1691="1111")),TH!D1691,""),"")</f>
        <v/>
      </c>
      <c r="B1486" s="36">
        <f t="shared" si="68"/>
        <v>10</v>
      </c>
      <c r="C1486" s="184">
        <f t="shared" si="67"/>
        <v>42653</v>
      </c>
      <c r="D1486" s="184" t="s">
        <v>1111</v>
      </c>
      <c r="E1486" s="37">
        <v>42653</v>
      </c>
      <c r="F1486" s="40" t="s">
        <v>471</v>
      </c>
      <c r="G1486" s="456" t="s">
        <v>1575</v>
      </c>
      <c r="H1486" s="7" t="s">
        <v>421</v>
      </c>
      <c r="I1486" s="703">
        <v>659</v>
      </c>
      <c r="J1486" s="703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57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1"/>
      <c r="AC1486" s="557" t="str">
        <f>IF(VLOOKUP(F1486,NXT!$C$35:$C$411,1,0)=F1486,"","x")</f>
        <v/>
      </c>
      <c r="AD1486" s="557"/>
    </row>
    <row r="1487" spans="1:30" s="211" customFormat="1" ht="15.75" customHeight="1">
      <c r="A1487" s="204" t="str">
        <f>IF(B1487&lt;&gt;"",IF(AND(B1487&gt;=_TM1,B1487&lt;=_TM2,OR(TH!L1692="1111",TH!M1692="1111")),TH!D1692,""),"")</f>
        <v/>
      </c>
      <c r="B1487" s="36">
        <f t="shared" si="68"/>
        <v>10</v>
      </c>
      <c r="C1487" s="184">
        <f t="shared" si="67"/>
        <v>42653</v>
      </c>
      <c r="D1487" s="184" t="s">
        <v>1111</v>
      </c>
      <c r="E1487" s="37">
        <v>42653</v>
      </c>
      <c r="F1487" s="40" t="s">
        <v>1285</v>
      </c>
      <c r="G1487" s="456" t="s">
        <v>1575</v>
      </c>
      <c r="H1487" s="7" t="s">
        <v>421</v>
      </c>
      <c r="I1487" s="703"/>
      <c r="J1487" s="703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57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1"/>
      <c r="AC1487" s="557"/>
    </row>
    <row r="1488" spans="1:30" s="211" customFormat="1" ht="15.75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3"/>
      <c r="J1488" s="256"/>
      <c r="K1488" s="565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57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2"/>
      <c r="AC1488" s="557"/>
    </row>
    <row r="1489" spans="1:30" s="211" customFormat="1" ht="15.75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1321</v>
      </c>
      <c r="G1489" s="192" t="s">
        <v>1318</v>
      </c>
      <c r="H1489" s="193" t="s">
        <v>1491</v>
      </c>
      <c r="I1489" s="703"/>
      <c r="J1489" s="703"/>
      <c r="K1489" s="565">
        <v>50000000</v>
      </c>
      <c r="L1489" s="566" t="s">
        <v>24</v>
      </c>
      <c r="M1489" s="566" t="s">
        <v>790</v>
      </c>
      <c r="N1489" s="52" t="str">
        <f>IF(AND('331-CT'!$E$7=TH!H1489,OR(L1489="331",M1489="331")),"331",IF(AND(OR(L1489="131",M1489="131"),H1489='131-CT'!$E$7),"131",""))</f>
        <v/>
      </c>
      <c r="O1489" s="857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2"/>
      <c r="AC1489" s="557"/>
      <c r="AD1489" s="557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1318</v>
      </c>
      <c r="H1490" s="193" t="s">
        <v>1491</v>
      </c>
      <c r="I1490" s="703"/>
      <c r="J1490" s="703"/>
      <c r="K1490" s="565">
        <v>50000000</v>
      </c>
      <c r="L1490" s="566" t="s">
        <v>8</v>
      </c>
      <c r="M1490" s="566" t="s">
        <v>24</v>
      </c>
      <c r="N1490" s="52" t="str">
        <f>IF(AND('331-CT'!$E$7=TH!H1490,OR(L1490="331",M1490="331")),"331",IF(AND(OR(L1490="131",M1490="131"),H1490='131-CT'!$E$7),"131",""))</f>
        <v/>
      </c>
      <c r="O1490" s="857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2"/>
      <c r="AC1490" s="557"/>
      <c r="AD1490" s="557"/>
    </row>
    <row r="1491" spans="1:30" s="211" customFormat="1" ht="15.75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1318</v>
      </c>
      <c r="H1491" s="193"/>
      <c r="I1491" s="256"/>
      <c r="J1491" s="256"/>
      <c r="K1491" s="565">
        <v>15000</v>
      </c>
      <c r="L1491" s="566" t="s">
        <v>83</v>
      </c>
      <c r="M1491" s="566" t="s">
        <v>24</v>
      </c>
      <c r="N1491" s="52" t="str">
        <f>IF(AND('331-CT'!$E$7=TH!H1491,OR(L1491="331",M1491="331")),"331",IF(AND(OR(L1491="131",M1491="131"),H1491='131-CT'!$E$7),"131",""))</f>
        <v/>
      </c>
      <c r="O1491" s="857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2">
        <v>4</v>
      </c>
      <c r="AC1491" s="557"/>
      <c r="AD1491" s="557"/>
    </row>
    <row r="1492" spans="1:30" s="211" customFormat="1" ht="15.75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1318</v>
      </c>
      <c r="H1492" s="193"/>
      <c r="I1492" s="256"/>
      <c r="J1492" s="256"/>
      <c r="K1492" s="565">
        <v>1500</v>
      </c>
      <c r="L1492" s="194" t="s">
        <v>9</v>
      </c>
      <c r="M1492" s="566" t="s">
        <v>24</v>
      </c>
      <c r="N1492" s="52" t="str">
        <f>IF(AND('331-CT'!$E$7=TH!H1492,OR(L1492="331",M1492="331")),"331",IF(AND(OR(L1492="131",M1492="131"),H1492='131-CT'!$E$7),"131",""))</f>
        <v/>
      </c>
      <c r="O1492" s="857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2">
        <v>4</v>
      </c>
      <c r="AC1492" s="557"/>
      <c r="AD1492" s="557"/>
    </row>
    <row r="1493" spans="1:30" s="211" customFormat="1" ht="15.75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65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57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2"/>
      <c r="AC1493" s="557"/>
      <c r="AD1493" s="557"/>
    </row>
    <row r="1494" spans="1:30" s="211" customFormat="1" ht="15.75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65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57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2"/>
      <c r="AC1494" s="557"/>
    </row>
    <row r="1495" spans="1:30" s="211" customFormat="1" ht="15.75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65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57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2"/>
      <c r="AC1495" s="557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65">
        <v>50000000</v>
      </c>
      <c r="L1496" s="194" t="s">
        <v>8</v>
      </c>
      <c r="M1496" s="566" t="s">
        <v>24</v>
      </c>
      <c r="N1496" s="52" t="str">
        <f>IF(AND('331-CT'!$E$7=TH!H1496,OR(L1496="331",M1496="331")),"331",IF(AND(OR(L1496="131",M1496="131"),H1496='131-CT'!$E$7),"131",""))</f>
        <v/>
      </c>
      <c r="O1496" s="857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2"/>
      <c r="AC1496" s="557"/>
      <c r="AD1496" s="557"/>
    </row>
    <row r="1497" spans="1:30" s="211" customFormat="1" ht="15.75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65">
        <v>13636</v>
      </c>
      <c r="L1497" s="566" t="s">
        <v>83</v>
      </c>
      <c r="M1497" s="566" t="s">
        <v>24</v>
      </c>
      <c r="N1497" s="52" t="str">
        <f>IF(AND('331-CT'!$E$7=TH!H1497,OR(L1497="331",M1497="331")),"331",IF(AND(OR(L1497="131",M1497="131"),H1497='131-CT'!$E$7),"131",""))</f>
        <v/>
      </c>
      <c r="O1497" s="857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1">
        <v>4</v>
      </c>
      <c r="AC1497" s="557"/>
    </row>
    <row r="1498" spans="1:30" s="211" customFormat="1" ht="15.75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65">
        <v>1364</v>
      </c>
      <c r="L1498" s="194" t="s">
        <v>9</v>
      </c>
      <c r="M1498" s="566" t="s">
        <v>24</v>
      </c>
      <c r="N1498" s="52" t="str">
        <f>IF(AND('331-CT'!$E$7=TH!H1498,OR(L1498="331",M1498="331")),"331",IF(AND(OR(L1498="131",M1498="131"),H1498='131-CT'!$E$7),"131",""))</f>
        <v/>
      </c>
      <c r="O1498" s="857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1">
        <v>4</v>
      </c>
      <c r="AC1498" s="557"/>
      <c r="AD1498" s="557"/>
    </row>
    <row r="1499" spans="1:30" s="211" customFormat="1" ht="15.75" customHeight="1">
      <c r="A1499" s="204">
        <f>IF(B1499&lt;&gt;"",IF(AND(B1499&gt;=_TM1,B1499&lt;=_TM2,OR(TH!L1693="1111",TH!M1693="1111")),TH!D1693,""),"")</f>
        <v>0</v>
      </c>
      <c r="B1499" s="36">
        <f t="shared" si="68"/>
        <v>10</v>
      </c>
      <c r="C1499" s="184">
        <f t="shared" si="67"/>
        <v>42655</v>
      </c>
      <c r="D1499" s="184" t="s">
        <v>1112</v>
      </c>
      <c r="E1499" s="37">
        <v>42655</v>
      </c>
      <c r="F1499" s="40" t="s">
        <v>448</v>
      </c>
      <c r="G1499" s="456" t="s">
        <v>1342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57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1"/>
      <c r="AC1499" s="557" t="str">
        <f>IF(VLOOKUP(F1499,NXT!$C$35:$C$411,1,0)=F1499,"","x")</f>
        <v/>
      </c>
      <c r="AD1499" s="557"/>
    </row>
    <row r="1500" spans="1:30" s="211" customFormat="1" ht="15.75" customHeight="1">
      <c r="A1500" s="204" t="str">
        <f>IF(B1500&lt;&gt;"",IF(AND(B1500&gt;=_TM1,B1500&lt;=_TM2,OR(TH!L1694="1111",TH!M1694="1111")),TH!D1694,""),"")</f>
        <v/>
      </c>
      <c r="B1500" s="36">
        <f t="shared" si="68"/>
        <v>10</v>
      </c>
      <c r="C1500" s="184">
        <f t="shared" si="67"/>
        <v>42655</v>
      </c>
      <c r="D1500" s="184" t="s">
        <v>1112</v>
      </c>
      <c r="E1500" s="37">
        <v>42655</v>
      </c>
      <c r="F1500" s="40" t="s">
        <v>1285</v>
      </c>
      <c r="G1500" s="456" t="s">
        <v>1342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57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1"/>
      <c r="AC1500" s="557"/>
    </row>
    <row r="1501" spans="1:30" s="211" customFormat="1" ht="15.75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65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57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2"/>
      <c r="AC1501" s="557"/>
      <c r="AD1501" s="557"/>
    </row>
    <row r="1502" spans="1:30" s="211" customFormat="1" ht="15.75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65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57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2"/>
      <c r="AC1502" s="557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65">
        <v>5000000</v>
      </c>
      <c r="L1503" s="194" t="s">
        <v>8</v>
      </c>
      <c r="M1503" s="566" t="s">
        <v>24</v>
      </c>
      <c r="N1503" s="52" t="str">
        <f>IF(AND('331-CT'!$E$7=TH!H1503,OR(L1503="331",M1503="331")),"331",IF(AND(OR(L1503="131",M1503="131"),H1503='131-CT'!$E$7),"131",""))</f>
        <v/>
      </c>
      <c r="O1503" s="857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2"/>
      <c r="AC1503" s="557"/>
    </row>
    <row r="1504" spans="1:30" s="211" customFormat="1" ht="15.75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65">
        <v>9091</v>
      </c>
      <c r="L1504" s="566" t="s">
        <v>83</v>
      </c>
      <c r="M1504" s="566" t="s">
        <v>24</v>
      </c>
      <c r="N1504" s="52" t="str">
        <f>IF(AND('331-CT'!$E$7=TH!H1504,OR(L1504="331",M1504="331")),"331",IF(AND(OR(L1504="131",M1504="131"),H1504='131-CT'!$E$7),"131",""))</f>
        <v/>
      </c>
      <c r="O1504" s="857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1">
        <v>4</v>
      </c>
      <c r="AC1504" s="557"/>
      <c r="AD1504" s="557"/>
    </row>
    <row r="1505" spans="1:30" s="211" customFormat="1" ht="15.75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65">
        <v>909</v>
      </c>
      <c r="L1505" s="194" t="s">
        <v>9</v>
      </c>
      <c r="M1505" s="566" t="s">
        <v>24</v>
      </c>
      <c r="N1505" s="52" t="str">
        <f>IF(AND('331-CT'!$E$7=TH!H1505,OR(L1505="331",M1505="331")),"331",IF(AND(OR(L1505="131",M1505="131"),H1505='131-CT'!$E$7),"131",""))</f>
        <v/>
      </c>
      <c r="O1505" s="857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1">
        <v>4</v>
      </c>
      <c r="AC1505" s="557"/>
      <c r="AD1505" s="557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65">
        <v>11000000</v>
      </c>
      <c r="L1506" s="194" t="s">
        <v>8</v>
      </c>
      <c r="M1506" s="566" t="s">
        <v>24</v>
      </c>
      <c r="N1506" s="52" t="str">
        <f>IF(AND('331-CT'!$E$7=TH!H1506,OR(L1506="331",M1506="331")),"331",IF(AND(OR(L1506="131",M1506="131"),H1506='131-CT'!$E$7),"131",""))</f>
        <v/>
      </c>
      <c r="O1506" s="857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2"/>
      <c r="AC1506" s="557"/>
    </row>
    <row r="1507" spans="1:30" s="211" customFormat="1" ht="15.75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65">
        <v>18182</v>
      </c>
      <c r="L1507" s="566" t="s">
        <v>83</v>
      </c>
      <c r="M1507" s="566" t="s">
        <v>24</v>
      </c>
      <c r="N1507" s="52" t="str">
        <f>IF(AND('331-CT'!$E$7=TH!H1507,OR(L1507="331",M1507="331")),"331",IF(AND(OR(L1507="131",M1507="131"),H1507='131-CT'!$E$7),"131",""))</f>
        <v/>
      </c>
      <c r="O1507" s="857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1">
        <v>4</v>
      </c>
      <c r="AC1507" s="557"/>
      <c r="AD1507" s="557"/>
    </row>
    <row r="1508" spans="1:30" s="211" customFormat="1" ht="15.75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65">
        <v>1818</v>
      </c>
      <c r="L1508" s="194" t="s">
        <v>9</v>
      </c>
      <c r="M1508" s="566" t="s">
        <v>24</v>
      </c>
      <c r="N1508" s="52" t="str">
        <f>IF(AND('331-CT'!$E$7=TH!H1508,OR(L1508="331",M1508="331")),"331",IF(AND(OR(L1508="131",M1508="131"),H1508='131-CT'!$E$7),"131",""))</f>
        <v/>
      </c>
      <c r="O1508" s="857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1">
        <v>4</v>
      </c>
      <c r="AC1508" s="557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65">
        <v>5000000</v>
      </c>
      <c r="L1509" s="194" t="s">
        <v>8</v>
      </c>
      <c r="M1509" s="566" t="s">
        <v>24</v>
      </c>
      <c r="N1509" s="52" t="str">
        <f>IF(AND('331-CT'!$E$7=TH!H1509,OR(L1509="331",M1509="331")),"331",IF(AND(OR(L1509="131",M1509="131"),H1509='131-CT'!$E$7),"131",""))</f>
        <v/>
      </c>
      <c r="O1509" s="857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2"/>
      <c r="AC1509" s="557"/>
      <c r="AD1509" s="557"/>
    </row>
    <row r="1510" spans="1:30" s="211" customFormat="1" ht="15.75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65">
        <v>13636</v>
      </c>
      <c r="L1510" s="566" t="s">
        <v>83</v>
      </c>
      <c r="M1510" s="566" t="s">
        <v>24</v>
      </c>
      <c r="N1510" s="52" t="str">
        <f>IF(AND('331-CT'!$E$7=TH!H1510,OR(L1510="331",M1510="331")),"331",IF(AND(OR(L1510="131",M1510="131"),H1510='131-CT'!$E$7),"131",""))</f>
        <v/>
      </c>
      <c r="O1510" s="857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1">
        <v>4</v>
      </c>
      <c r="AC1510" s="557"/>
    </row>
    <row r="1511" spans="1:30" s="211" customFormat="1" ht="15.75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65">
        <v>1364</v>
      </c>
      <c r="L1511" s="194" t="s">
        <v>9</v>
      </c>
      <c r="M1511" s="566" t="s">
        <v>24</v>
      </c>
      <c r="N1511" s="52" t="str">
        <f>IF(AND('331-CT'!$E$7=TH!H1511,OR(L1511="331",M1511="331")),"331",IF(AND(OR(L1511="131",M1511="131"),H1511='131-CT'!$E$7),"131",""))</f>
        <v/>
      </c>
      <c r="O1511" s="857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1">
        <v>4</v>
      </c>
      <c r="AC1511" s="557"/>
      <c r="AD1511" s="557"/>
    </row>
    <row r="1512" spans="1:30" s="211" customFormat="1" ht="15.75" customHeight="1">
      <c r="A1512" s="204" t="str">
        <f>IF(B1512&lt;&gt;"",IF(AND(B1512&gt;=_TM1,B1512&lt;=_TM2,OR(TH!L1695="1111",TH!M1695="1111")),TH!D1695,""),"")</f>
        <v/>
      </c>
      <c r="B1512" s="36">
        <f t="shared" si="68"/>
        <v>10</v>
      </c>
      <c r="C1512" s="184">
        <f t="shared" si="67"/>
        <v>42656</v>
      </c>
      <c r="D1512" s="184" t="s">
        <v>1113</v>
      </c>
      <c r="E1512" s="37">
        <v>42656</v>
      </c>
      <c r="F1512" s="192" t="s">
        <v>1474</v>
      </c>
      <c r="G1512" s="456" t="s">
        <v>1343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57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1"/>
      <c r="AC1512" s="557" t="str">
        <f>IF(VLOOKUP(F1512,NXT!$C$35:$C$411,1,0)=F1512,"","x")</f>
        <v/>
      </c>
      <c r="AD1512" s="557"/>
    </row>
    <row r="1513" spans="1:30" s="211" customFormat="1" ht="15.75" customHeight="1">
      <c r="A1513" s="204" t="str">
        <f>IF(B1513&lt;&gt;"",IF(AND(B1513&gt;=_TM1,B1513&lt;=_TM2,OR(TH!L1696="1111",TH!M1696="1111")),TH!D1696,""),"")</f>
        <v/>
      </c>
      <c r="B1513" s="36">
        <f t="shared" si="68"/>
        <v>10</v>
      </c>
      <c r="C1513" s="184">
        <f t="shared" si="67"/>
        <v>42656</v>
      </c>
      <c r="D1513" s="184" t="s">
        <v>1113</v>
      </c>
      <c r="E1513" s="37">
        <v>42656</v>
      </c>
      <c r="F1513" s="40" t="s">
        <v>1344</v>
      </c>
      <c r="G1513" s="456" t="s">
        <v>1343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57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1"/>
      <c r="AC1513" s="557" t="str">
        <f>IF(VLOOKUP(F1513,NXT!$C$35:$C$411,1,0)=F1513,"","x")</f>
        <v/>
      </c>
    </row>
    <row r="1514" spans="1:30" s="211" customFormat="1" ht="15.75" customHeight="1">
      <c r="A1514" s="204" t="str">
        <f>IF(B1514&lt;&gt;"",IF(AND(B1514&gt;=_TM1,B1514&lt;=_TM2,OR(TH!L1697="1111",TH!M1697="1111")),TH!D1697,""),"")</f>
        <v/>
      </c>
      <c r="B1514" s="36">
        <f t="shared" si="68"/>
        <v>10</v>
      </c>
      <c r="C1514" s="184">
        <f t="shared" si="67"/>
        <v>42656</v>
      </c>
      <c r="D1514" s="184" t="s">
        <v>1113</v>
      </c>
      <c r="E1514" s="37">
        <v>42656</v>
      </c>
      <c r="F1514" s="40" t="s">
        <v>1285</v>
      </c>
      <c r="G1514" s="456" t="s">
        <v>1343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57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1"/>
      <c r="AC1514" s="557"/>
      <c r="AD1514" s="557"/>
    </row>
    <row r="1515" spans="1:30" s="211" customFormat="1" ht="15.75" customHeight="1">
      <c r="A1515" s="204" t="str">
        <f>IF(B1515&lt;&gt;"",IF(AND(B1515&gt;=_TM1,B1515&lt;=_TM2,OR(TH!L1698="1111",TH!M1698="1111")),TH!D1698,""),"")</f>
        <v/>
      </c>
      <c r="B1515" s="36">
        <f t="shared" si="68"/>
        <v>10</v>
      </c>
      <c r="C1515" s="184">
        <f t="shared" si="67"/>
        <v>42656</v>
      </c>
      <c r="D1515" s="184" t="s">
        <v>1114</v>
      </c>
      <c r="E1515" s="37">
        <v>42656</v>
      </c>
      <c r="F1515" s="40" t="s">
        <v>1346</v>
      </c>
      <c r="G1515" s="456" t="s">
        <v>1345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57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1"/>
      <c r="AC1515" s="557" t="str">
        <f>IF(VLOOKUP(F1515,NXT!$C$35:$C$411,1,0)=F1515,"","x")</f>
        <v/>
      </c>
    </row>
    <row r="1516" spans="1:30" s="211" customFormat="1" ht="15.75" customHeight="1">
      <c r="A1516" s="204" t="str">
        <f>IF(B1516&lt;&gt;"",IF(AND(B1516&gt;=_TM1,B1516&lt;=_TM2,OR(TH!L1699="1111",TH!M1699="1111")),TH!D1699,""),"")</f>
        <v/>
      </c>
      <c r="B1516" s="36">
        <f t="shared" si="68"/>
        <v>10</v>
      </c>
      <c r="C1516" s="184">
        <f t="shared" si="67"/>
        <v>42656</v>
      </c>
      <c r="D1516" s="184" t="s">
        <v>1114</v>
      </c>
      <c r="E1516" s="37">
        <v>42656</v>
      </c>
      <c r="F1516" s="40" t="s">
        <v>1285</v>
      </c>
      <c r="G1516" s="456" t="s">
        <v>1345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57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1"/>
      <c r="AC1516" s="557"/>
      <c r="AD1516" s="557"/>
    </row>
    <row r="1517" spans="1:30" s="211" customFormat="1" ht="15.75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1318</v>
      </c>
      <c r="H1517" s="7" t="s">
        <v>1492</v>
      </c>
      <c r="I1517" s="256"/>
      <c r="J1517" s="256"/>
      <c r="K1517" s="565">
        <v>200000000</v>
      </c>
      <c r="L1517" s="566" t="s">
        <v>24</v>
      </c>
      <c r="M1517" s="566" t="s">
        <v>47</v>
      </c>
      <c r="N1517" s="52" t="str">
        <f>IF(AND('331-CT'!$E$7=TH!H1517,OR(L1517="331",M1517="331")),"331",IF(AND(OR(L1517="131",M1517="131"),H1517='131-CT'!$E$7),"131",""))</f>
        <v/>
      </c>
      <c r="O1517" s="857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2"/>
      <c r="AC1517" s="557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1318</v>
      </c>
      <c r="H1518" s="193"/>
      <c r="I1518" s="256"/>
      <c r="J1518" s="256"/>
      <c r="K1518" s="565">
        <v>10000000</v>
      </c>
      <c r="L1518" s="566" t="s">
        <v>8</v>
      </c>
      <c r="M1518" s="566" t="s">
        <v>24</v>
      </c>
      <c r="N1518" s="52" t="str">
        <f>IF(AND('331-CT'!$E$7=TH!H1518,OR(L1518="331",M1518="331")),"331",IF(AND(OR(L1518="131",M1518="131"),H1518='131-CT'!$E$7),"131",""))</f>
        <v/>
      </c>
      <c r="O1518" s="857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2"/>
      <c r="AC1518" s="557"/>
      <c r="AD1518" s="557"/>
    </row>
    <row r="1519" spans="1:30" s="211" customFormat="1" ht="15.75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1318</v>
      </c>
      <c r="H1519" s="7"/>
      <c r="I1519" s="256"/>
      <c r="J1519" s="256"/>
      <c r="K1519" s="565">
        <v>15000</v>
      </c>
      <c r="L1519" s="566" t="s">
        <v>83</v>
      </c>
      <c r="M1519" s="566" t="s">
        <v>24</v>
      </c>
      <c r="N1519" s="52" t="str">
        <f>IF(AND('331-CT'!$E$7=TH!H1519,OR(L1519="331",M1519="331")),"331",IF(AND(OR(L1519="131",M1519="131"),H1519='131-CT'!$E$7),"131",""))</f>
        <v/>
      </c>
      <c r="O1519" s="857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2">
        <v>4</v>
      </c>
      <c r="AC1519" s="557"/>
    </row>
    <row r="1520" spans="1:30" s="211" customFormat="1" ht="15.75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1318</v>
      </c>
      <c r="H1520" s="7"/>
      <c r="I1520" s="256"/>
      <c r="J1520" s="256"/>
      <c r="K1520" s="565">
        <v>1500</v>
      </c>
      <c r="L1520" s="194" t="s">
        <v>9</v>
      </c>
      <c r="M1520" s="566" t="s">
        <v>24</v>
      </c>
      <c r="N1520" s="52" t="str">
        <f>IF(AND('331-CT'!$E$7=TH!H1520,OR(L1520="331",M1520="331")),"331",IF(AND(OR(L1520="131",M1520="131"),H1520='131-CT'!$E$7),"131",""))</f>
        <v/>
      </c>
      <c r="O1520" s="857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2">
        <v>4</v>
      </c>
      <c r="AC1520" s="557"/>
      <c r="AD1520" s="557"/>
    </row>
    <row r="1521" spans="1:30" s="211" customFormat="1" ht="15.75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1318</v>
      </c>
      <c r="H1521" s="193" t="s">
        <v>705</v>
      </c>
      <c r="I1521" s="256"/>
      <c r="J1521" s="256"/>
      <c r="K1521" s="565">
        <v>20000000</v>
      </c>
      <c r="L1521" s="566" t="s">
        <v>47</v>
      </c>
      <c r="M1521" s="566" t="s">
        <v>24</v>
      </c>
      <c r="N1521" s="52" t="str">
        <f>IF(AND('331-CT'!$E$7=TH!H1521,OR(L1521="331",M1521="331")),"331",IF(AND(OR(L1521="131",M1521="131"),H1521='131-CT'!$E$7),"131",""))</f>
        <v/>
      </c>
      <c r="O1521" s="857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2"/>
      <c r="AC1521" s="557"/>
    </row>
    <row r="1522" spans="1:30" s="211" customFormat="1" ht="15.75" customHeight="1">
      <c r="A1522" s="204" t="str">
        <f>IF(B1522&lt;&gt;"",IF(AND(B1522&gt;=_TM1,B1522&lt;=_TM2,OR(TH!L1595="1111",TH!M1595="1111")),TH!D1595,""),"")</f>
        <v/>
      </c>
      <c r="B1522" s="36">
        <f t="shared" si="68"/>
        <v>10</v>
      </c>
      <c r="C1522" s="184">
        <f t="shared" si="67"/>
        <v>42660</v>
      </c>
      <c r="D1522" s="184" t="s">
        <v>1217</v>
      </c>
      <c r="E1522" s="191">
        <v>42660</v>
      </c>
      <c r="F1522" s="192" t="s">
        <v>1276</v>
      </c>
      <c r="G1522" s="456" t="s">
        <v>1450</v>
      </c>
      <c r="H1522" s="7" t="s">
        <v>886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57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0">
        <v>4</v>
      </c>
      <c r="AC1522" s="557"/>
      <c r="AD1522" s="557"/>
    </row>
    <row r="1523" spans="1:30" s="211" customFormat="1" ht="15.75" customHeight="1">
      <c r="A1523" s="204" t="str">
        <f>IF(B1523&lt;&gt;"",IF(AND(B1523&gt;=_TM1,B1523&lt;=_TM2,OR(TH!L1596="1111",TH!M1596="1111")),TH!D1596,""),"")</f>
        <v/>
      </c>
      <c r="B1523" s="36">
        <f t="shared" si="68"/>
        <v>10</v>
      </c>
      <c r="C1523" s="184">
        <f t="shared" si="67"/>
        <v>42660</v>
      </c>
      <c r="D1523" s="184" t="s">
        <v>1217</v>
      </c>
      <c r="E1523" s="191">
        <v>42660</v>
      </c>
      <c r="F1523" s="40" t="s">
        <v>1278</v>
      </c>
      <c r="G1523" s="456" t="s">
        <v>1450</v>
      </c>
      <c r="H1523" s="7" t="s">
        <v>886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57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0">
        <v>4</v>
      </c>
      <c r="AC1523" s="557"/>
      <c r="AD1523" s="557"/>
    </row>
    <row r="1524" spans="1:30" s="211" customFormat="1" ht="15.75" customHeight="1">
      <c r="A1524" s="204" t="str">
        <f>IF(B1524&lt;&gt;"",IF(AND(B1524&gt;=_TM1,B1524&lt;=_TM2,OR(TH!L1597="1111",TH!M1597="1111")),TH!D1597,""),"")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1450</v>
      </c>
      <c r="H1524" s="7" t="s">
        <v>886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57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0">
        <v>4</v>
      </c>
      <c r="AC1524" s="557"/>
    </row>
    <row r="1525" spans="1:30" s="211" customFormat="1" ht="15.75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1495</v>
      </c>
      <c r="G1525" s="192" t="s">
        <v>1318</v>
      </c>
      <c r="H1525" s="193" t="s">
        <v>1322</v>
      </c>
      <c r="I1525" s="256"/>
      <c r="J1525" s="256"/>
      <c r="K1525" s="565">
        <v>150000000</v>
      </c>
      <c r="L1525" s="566" t="s">
        <v>790</v>
      </c>
      <c r="M1525" s="566" t="s">
        <v>24</v>
      </c>
      <c r="N1525" s="52" t="str">
        <f>IF(AND('331-CT'!$E$7=TH!H1525,OR(L1525="331",M1525="331")),"331",IF(AND(OR(L1525="131",M1525="131"),H1525='131-CT'!$E$7),"131",""))</f>
        <v/>
      </c>
      <c r="O1525" s="857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2"/>
      <c r="AC1525" s="557"/>
      <c r="AD1525" s="557"/>
    </row>
    <row r="1526" spans="1:30" s="211" customFormat="1" ht="15.75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1327</v>
      </c>
      <c r="G1526" s="192" t="s">
        <v>1318</v>
      </c>
      <c r="H1526" s="193" t="s">
        <v>1322</v>
      </c>
      <c r="I1526" s="256"/>
      <c r="J1526" s="256"/>
      <c r="K1526" s="565">
        <v>12945833</v>
      </c>
      <c r="L1526" s="566" t="s">
        <v>81</v>
      </c>
      <c r="M1526" s="566" t="s">
        <v>24</v>
      </c>
      <c r="N1526" s="52" t="str">
        <f>IF(AND('331-CT'!$E$7=TH!H1526,OR(L1526="331",M1526="331")),"331",IF(AND(OR(L1526="131",M1526="131"),H1526='131-CT'!$E$7),"131",""))</f>
        <v/>
      </c>
      <c r="O1526" s="857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2"/>
      <c r="AC1526" s="557"/>
    </row>
    <row r="1527" spans="1:30" s="211" customFormat="1" ht="15.75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1327</v>
      </c>
      <c r="G1527" s="192" t="s">
        <v>1318</v>
      </c>
      <c r="H1527" s="193" t="s">
        <v>1325</v>
      </c>
      <c r="I1527" s="256"/>
      <c r="J1527" s="256"/>
      <c r="K1527" s="565">
        <v>1083333</v>
      </c>
      <c r="L1527" s="566" t="s">
        <v>81</v>
      </c>
      <c r="M1527" s="566" t="s">
        <v>24</v>
      </c>
      <c r="N1527" s="52" t="str">
        <f>IF(AND('331-CT'!$E$7=TH!H1527,OR(L1527="331",M1527="331")),"331",IF(AND(OR(L1527="131",M1527="131"),H1527='131-CT'!$E$7),"131",""))</f>
        <v/>
      </c>
      <c r="O1527" s="857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2"/>
      <c r="AC1527" s="557"/>
      <c r="AD1527" s="557"/>
    </row>
    <row r="1528" spans="1:30" s="211" customFormat="1" ht="15.75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1327</v>
      </c>
      <c r="G1528" s="192" t="s">
        <v>1318</v>
      </c>
      <c r="H1528" s="193" t="s">
        <v>1326</v>
      </c>
      <c r="I1528" s="256"/>
      <c r="J1528" s="256"/>
      <c r="K1528" s="565">
        <v>586130</v>
      </c>
      <c r="L1528" s="566" t="s">
        <v>81</v>
      </c>
      <c r="M1528" s="566" t="s">
        <v>24</v>
      </c>
      <c r="N1528" s="52" t="str">
        <f>IF(AND('331-CT'!$E$7=TH!H1528,OR(L1528="331",M1528="331")),"331",IF(AND(OR(L1528="131",M1528="131"),H1528='131-CT'!$E$7),"131",""))</f>
        <v/>
      </c>
      <c r="O1528" s="857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2"/>
      <c r="AC1528" s="557"/>
    </row>
    <row r="1529" spans="1:30" s="211" customFormat="1" ht="15.75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1327</v>
      </c>
      <c r="G1529" s="192" t="s">
        <v>1318</v>
      </c>
      <c r="H1529" s="193" t="s">
        <v>1496</v>
      </c>
      <c r="I1529" s="256"/>
      <c r="J1529" s="256"/>
      <c r="K1529" s="565">
        <v>126389</v>
      </c>
      <c r="L1529" s="566" t="s">
        <v>81</v>
      </c>
      <c r="M1529" s="566" t="s">
        <v>24</v>
      </c>
      <c r="N1529" s="52" t="str">
        <f>IF(AND('331-CT'!$E$7=TH!H1529,OR(L1529="331",M1529="331")),"331",IF(AND(OR(L1529="131",M1529="131"),H1529='131-CT'!$E$7),"131",""))</f>
        <v/>
      </c>
      <c r="O1529" s="857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2"/>
      <c r="AC1529" s="557"/>
      <c r="AD1529" s="557"/>
    </row>
    <row r="1530" spans="1:30" s="211" customFormat="1" ht="15.75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1327</v>
      </c>
      <c r="G1530" s="192" t="s">
        <v>1318</v>
      </c>
      <c r="H1530" s="193" t="s">
        <v>1491</v>
      </c>
      <c r="I1530" s="256"/>
      <c r="J1530" s="256"/>
      <c r="K1530" s="565">
        <v>81250</v>
      </c>
      <c r="L1530" s="566" t="s">
        <v>81</v>
      </c>
      <c r="M1530" s="566" t="s">
        <v>24</v>
      </c>
      <c r="N1530" s="52" t="str">
        <f>IF(AND('331-CT'!$E$7=TH!H1530,OR(L1530="331",M1530="331")),"331",IF(AND(OR(L1530="131",M1530="131"),H1530='131-CT'!$E$7),"131",""))</f>
        <v/>
      </c>
      <c r="O1530" s="857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2"/>
      <c r="AC1530" s="557"/>
    </row>
    <row r="1531" spans="1:30" s="211" customFormat="1" ht="15.75" customHeight="1">
      <c r="A1531" s="204" t="str">
        <f>IF(B1531&lt;&gt;"",IF(AND(B1531&gt;=_TM1,B1531&lt;=_TM2,OR(TH!L1700="1111",TH!M1700="1111")),TH!D1700,""),"")</f>
        <v/>
      </c>
      <c r="B1531" s="36">
        <f t="shared" si="68"/>
        <v>10</v>
      </c>
      <c r="C1531" s="184">
        <f t="shared" si="67"/>
        <v>42661</v>
      </c>
      <c r="D1531" s="184" t="s">
        <v>1115</v>
      </c>
      <c r="E1531" s="191">
        <v>42661</v>
      </c>
      <c r="F1531" s="40" t="s">
        <v>1348</v>
      </c>
      <c r="G1531" s="456" t="s">
        <v>1347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57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1"/>
      <c r="AC1531" s="557" t="str">
        <f>IF(VLOOKUP(F1531,NXT!$C$35:$C$411,1,0)=F1531,"","x")</f>
        <v/>
      </c>
      <c r="AD1531" s="557"/>
    </row>
    <row r="1532" spans="1:30" s="211" customFormat="1" ht="15.75" customHeight="1">
      <c r="A1532" s="204" t="str">
        <f>IF(B1532&lt;&gt;"",IF(AND(B1532&gt;=_TM1,B1532&lt;=_TM2,OR(TH!L1701="1111",TH!M1701="1111")),TH!D1701,""),"")</f>
        <v/>
      </c>
      <c r="B1532" s="36">
        <f t="shared" si="68"/>
        <v>10</v>
      </c>
      <c r="C1532" s="184">
        <f t="shared" ref="C1532:C1597" si="70">E1532</f>
        <v>42661</v>
      </c>
      <c r="D1532" s="184" t="s">
        <v>1115</v>
      </c>
      <c r="E1532" s="191">
        <v>42661</v>
      </c>
      <c r="F1532" s="40" t="s">
        <v>1285</v>
      </c>
      <c r="G1532" s="456" t="s">
        <v>1347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57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1"/>
      <c r="AC1532" s="557"/>
      <c r="AD1532" s="557"/>
    </row>
    <row r="1533" spans="1:30" s="211" customFormat="1" ht="15.75" customHeight="1">
      <c r="A1533" s="204" t="str">
        <f>IF(B1533&lt;&gt;"",IF(AND(B1533&gt;=_TM1,B1533&lt;=_TM2,OR(TH!L1702="1111",TH!M1702="1111")),TH!D1702,""),"")</f>
        <v/>
      </c>
      <c r="B1533" s="36">
        <f t="shared" si="68"/>
        <v>10</v>
      </c>
      <c r="C1533" s="184">
        <f t="shared" si="70"/>
        <v>42661</v>
      </c>
      <c r="D1533" s="184" t="s">
        <v>1116</v>
      </c>
      <c r="E1533" s="191">
        <v>42661</v>
      </c>
      <c r="F1533" s="40" t="s">
        <v>1351</v>
      </c>
      <c r="G1533" s="456" t="s">
        <v>1349</v>
      </c>
      <c r="H1533" s="193" t="s">
        <v>1350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57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1"/>
      <c r="AC1533" s="557" t="str">
        <f>IF(VLOOKUP(F1533,NXT!$C$35:$C$411,1,0)=F1533,"","x")</f>
        <v/>
      </c>
      <c r="AD1533" s="557"/>
    </row>
    <row r="1534" spans="1:30" s="211" customFormat="1" ht="15.75" customHeight="1">
      <c r="A1534" s="204" t="str">
        <f>IF(B1534&lt;&gt;"",IF(AND(B1534&gt;=_TM1,B1534&lt;=_TM2,OR(TH!L1703="1111",TH!M1703="1111")),TH!D1703,""),"")</f>
        <v/>
      </c>
      <c r="B1534" s="36">
        <f t="shared" si="68"/>
        <v>10</v>
      </c>
      <c r="C1534" s="184">
        <f t="shared" si="70"/>
        <v>42661</v>
      </c>
      <c r="D1534" s="184" t="s">
        <v>1116</v>
      </c>
      <c r="E1534" s="191">
        <v>42661</v>
      </c>
      <c r="F1534" s="40" t="s">
        <v>1352</v>
      </c>
      <c r="G1534" s="456" t="s">
        <v>1349</v>
      </c>
      <c r="H1534" s="193" t="s">
        <v>1350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57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1"/>
      <c r="AC1534" s="557" t="str">
        <f>IF(VLOOKUP(F1534,NXT!$C$35:$C$411,1,0)=F1534,"","x")</f>
        <v/>
      </c>
    </row>
    <row r="1535" spans="1:30" s="211" customFormat="1" ht="15.75" customHeight="1">
      <c r="A1535" s="204" t="str">
        <f>IF(B1535&lt;&gt;"",IF(AND(B1535&gt;=_TM1,B1535&lt;=_TM2,OR(TH!L1704="1111",TH!M1704="1111")),TH!D1704,""),"")</f>
        <v/>
      </c>
      <c r="B1535" s="36">
        <f t="shared" ref="B1535:B1600" si="71">IF(C1535&lt;&gt;"",MONTH(C1535),"")</f>
        <v>10</v>
      </c>
      <c r="C1535" s="184">
        <f t="shared" si="70"/>
        <v>42661</v>
      </c>
      <c r="D1535" s="184" t="s">
        <v>1116</v>
      </c>
      <c r="E1535" s="191">
        <v>42661</v>
      </c>
      <c r="F1535" s="40" t="s">
        <v>1285</v>
      </c>
      <c r="G1535" s="456" t="s">
        <v>1349</v>
      </c>
      <c r="H1535" s="193" t="s">
        <v>1350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57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1"/>
      <c r="AC1535" s="557"/>
      <c r="AD1535" s="557"/>
    </row>
    <row r="1536" spans="1:30" s="211" customFormat="1" ht="15.75" customHeight="1">
      <c r="A1536" s="204" t="str">
        <f>IF(B1536&lt;&gt;"",IF(AND(B1536&gt;=_TM1,B1536&lt;=_TM2,OR(TH!L1705="1111",TH!M1705="1111")),TH!D1705,""),"")</f>
        <v/>
      </c>
      <c r="B1536" s="36">
        <f t="shared" si="71"/>
        <v>10</v>
      </c>
      <c r="C1536" s="184">
        <f t="shared" si="70"/>
        <v>42661</v>
      </c>
      <c r="D1536" s="184" t="s">
        <v>1117</v>
      </c>
      <c r="E1536" s="191">
        <v>42661</v>
      </c>
      <c r="F1536" s="40" t="s">
        <v>1356</v>
      </c>
      <c r="G1536" s="456" t="s">
        <v>1353</v>
      </c>
      <c r="H1536" s="193" t="s">
        <v>1354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57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1"/>
      <c r="AC1536" s="557" t="str">
        <f>IF(VLOOKUP(F1536,NXT!$C$35:$C$411,1,0)=F1536,"","x")</f>
        <v/>
      </c>
      <c r="AD1536" s="557"/>
    </row>
    <row r="1537" spans="1:30" s="211" customFormat="1" ht="15.75" customHeight="1">
      <c r="A1537" s="204" t="str">
        <f>IF(B1537&lt;&gt;"",IF(AND(B1537&gt;=_TM1,B1537&lt;=_TM2,OR(TH!L1706="1111",TH!M1706="1111")),TH!D1706,""),"")</f>
        <v/>
      </c>
      <c r="B1537" s="36">
        <f t="shared" si="71"/>
        <v>10</v>
      </c>
      <c r="C1537" s="184">
        <f t="shared" si="70"/>
        <v>42661</v>
      </c>
      <c r="D1537" s="184" t="s">
        <v>1117</v>
      </c>
      <c r="E1537" s="191">
        <v>42661</v>
      </c>
      <c r="F1537" s="40" t="s">
        <v>1357</v>
      </c>
      <c r="G1537" s="456" t="s">
        <v>1353</v>
      </c>
      <c r="H1537" s="193" t="s">
        <v>1354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57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1"/>
      <c r="AC1537" s="557" t="str">
        <f>IF(VLOOKUP(F1537,NXT!$C$35:$C$411,1,0)=F1537,"","x")</f>
        <v/>
      </c>
      <c r="AD1537" s="557"/>
    </row>
    <row r="1538" spans="1:30" s="211" customFormat="1" ht="15.75" customHeight="1">
      <c r="A1538" s="204" t="str">
        <f>IF(B1538&lt;&gt;"",IF(AND(B1538&gt;=_TM1,B1538&lt;=_TM2,OR(TH!L1708="1111",TH!M1708="1111")),TH!D1708,""),"")</f>
        <v>GBC</v>
      </c>
      <c r="B1538" s="36">
        <f t="shared" si="71"/>
        <v>10</v>
      </c>
      <c r="C1538" s="184">
        <f t="shared" si="70"/>
        <v>42661</v>
      </c>
      <c r="D1538" s="184" t="s">
        <v>1117</v>
      </c>
      <c r="E1538" s="191">
        <v>42661</v>
      </c>
      <c r="F1538" s="40" t="s">
        <v>1358</v>
      </c>
      <c r="G1538" s="456" t="s">
        <v>1353</v>
      </c>
      <c r="H1538" s="193" t="s">
        <v>1354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57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1"/>
      <c r="AC1538" s="557" t="str">
        <f>IF(VLOOKUP(F1538,NXT!$C$35:$C$411,1,0)=F1538,"","x")</f>
        <v/>
      </c>
      <c r="AD1538" s="557"/>
    </row>
    <row r="1539" spans="1:30" s="211" customFormat="1" ht="15.75" customHeight="1">
      <c r="A1539" s="204" t="str">
        <f>IF(B1539&lt;&gt;"",IF(AND(B1539&gt;=_TM1,B1539&lt;=_TM2,OR(TH!L1707="1111",TH!M1707="1111")),TH!D1707,""),"")</f>
        <v/>
      </c>
      <c r="B1539" s="36">
        <f t="shared" si="71"/>
        <v>10</v>
      </c>
      <c r="C1539" s="184">
        <f t="shared" si="70"/>
        <v>42661</v>
      </c>
      <c r="D1539" s="184" t="s">
        <v>1117</v>
      </c>
      <c r="E1539" s="191">
        <v>42661</v>
      </c>
      <c r="F1539" s="40" t="s">
        <v>1285</v>
      </c>
      <c r="G1539" s="456" t="s">
        <v>1353</v>
      </c>
      <c r="H1539" s="193" t="s">
        <v>1354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57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1"/>
      <c r="AC1539" s="557"/>
    </row>
    <row r="1540" spans="1:30" s="211" customFormat="1" ht="15.75" customHeight="1">
      <c r="A1540" s="204" t="str">
        <f>IF(B1540&lt;&gt;"",IF(AND(B1540&gt;=_TM1,B1540&lt;=_TM2,OR(TH!L1709="1111",TH!M1709="1111")),TH!D1709,""),"")</f>
        <v/>
      </c>
      <c r="B1540" s="36">
        <f t="shared" si="71"/>
        <v>10</v>
      </c>
      <c r="C1540" s="184">
        <f t="shared" si="70"/>
        <v>42661</v>
      </c>
      <c r="D1540" s="184" t="s">
        <v>1118</v>
      </c>
      <c r="E1540" s="191">
        <v>42661</v>
      </c>
      <c r="F1540" s="40" t="s">
        <v>1360</v>
      </c>
      <c r="G1540" s="456" t="s">
        <v>1355</v>
      </c>
      <c r="H1540" s="193" t="s">
        <v>1359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57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1"/>
      <c r="AC1540" s="557" t="str">
        <f>IF(VLOOKUP(F1540,NXT!$C$35:$C$411,1,0)=F1540,"","x")</f>
        <v/>
      </c>
      <c r="AD1540" s="557"/>
    </row>
    <row r="1541" spans="1:30" s="211" customFormat="1" ht="15.75" customHeight="1">
      <c r="A1541" s="204" t="str">
        <f>IF(B1541&lt;&gt;"",IF(AND(B1541&gt;=_TM1,B1541&lt;=_TM2,OR(TH!L1710="1111",TH!M1710="1111")),TH!D1710,""),"")</f>
        <v/>
      </c>
      <c r="B1541" s="36">
        <f t="shared" si="71"/>
        <v>10</v>
      </c>
      <c r="C1541" s="184">
        <f t="shared" si="70"/>
        <v>42661</v>
      </c>
      <c r="D1541" s="184" t="s">
        <v>1118</v>
      </c>
      <c r="E1541" s="191">
        <v>42661</v>
      </c>
      <c r="F1541" s="40" t="s">
        <v>511</v>
      </c>
      <c r="G1541" s="456" t="s">
        <v>1355</v>
      </c>
      <c r="H1541" s="193" t="s">
        <v>1359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57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1"/>
      <c r="AC1541" s="557" t="str">
        <f>IF(VLOOKUP(F1541,NXT!$C$35:$C$411,1,0)=F1541,"","x")</f>
        <v/>
      </c>
      <c r="AD1541" s="557"/>
    </row>
    <row r="1542" spans="1:30" s="211" customFormat="1" ht="15.75" customHeight="1">
      <c r="A1542" s="204" t="str">
        <f>IF(B1542&lt;&gt;"",IF(AND(B1542&gt;=_TM1,B1542&lt;=_TM2,OR(TH!L1711="1111",TH!M1711="1111")),TH!D1711,""),"")</f>
        <v/>
      </c>
      <c r="B1542" s="36">
        <f t="shared" si="71"/>
        <v>10</v>
      </c>
      <c r="C1542" s="184">
        <f t="shared" si="70"/>
        <v>42661</v>
      </c>
      <c r="D1542" s="184" t="s">
        <v>1118</v>
      </c>
      <c r="E1542" s="191">
        <v>42661</v>
      </c>
      <c r="F1542" s="40" t="s">
        <v>1285</v>
      </c>
      <c r="G1542" s="456" t="s">
        <v>1355</v>
      </c>
      <c r="H1542" s="193" t="s">
        <v>1359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57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1"/>
      <c r="AC1542" s="557"/>
      <c r="AD1542" s="557"/>
    </row>
    <row r="1543" spans="1:30" s="211" customFormat="1" ht="15.75" customHeight="1">
      <c r="A1543" s="204" t="str">
        <f>IF(B1543&lt;&gt;"",IF(AND(B1543&gt;=_TM1,B1543&lt;=_TM2,OR(TH!L1712="1111",TH!M1712="1111")),TH!D1712,""),"")</f>
        <v>GBN</v>
      </c>
      <c r="B1543" s="36">
        <f t="shared" si="71"/>
        <v>10</v>
      </c>
      <c r="C1543" s="184">
        <f t="shared" si="70"/>
        <v>42662</v>
      </c>
      <c r="D1543" s="184" t="s">
        <v>1119</v>
      </c>
      <c r="E1543" s="191">
        <v>42662</v>
      </c>
      <c r="F1543" s="40" t="s">
        <v>1358</v>
      </c>
      <c r="G1543" s="456" t="s">
        <v>1361</v>
      </c>
      <c r="H1543" s="193" t="s">
        <v>1354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57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1"/>
      <c r="AC1543" s="557" t="str">
        <f>IF(VLOOKUP(F1543,NXT!$C$35:$C$411,1,0)=F1543,"","x")</f>
        <v/>
      </c>
      <c r="AD1543" s="557"/>
    </row>
    <row r="1544" spans="1:30" s="211" customFormat="1" ht="15.75" customHeight="1">
      <c r="A1544" s="204" t="str">
        <f>IF(B1544&lt;&gt;"",IF(AND(B1544&gt;=_TM1,B1544&lt;=_TM2,OR(TH!L1713="1111",TH!M1713="1111")),TH!D1713,""),"")</f>
        <v/>
      </c>
      <c r="B1544" s="36">
        <f t="shared" si="71"/>
        <v>10</v>
      </c>
      <c r="C1544" s="184">
        <f t="shared" si="70"/>
        <v>42662</v>
      </c>
      <c r="D1544" s="184" t="s">
        <v>1119</v>
      </c>
      <c r="E1544" s="191">
        <v>42662</v>
      </c>
      <c r="F1544" s="40" t="s">
        <v>1285</v>
      </c>
      <c r="G1544" s="456" t="s">
        <v>1361</v>
      </c>
      <c r="H1544" s="193" t="s">
        <v>1354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57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1"/>
      <c r="AC1544" s="557"/>
      <c r="AD1544" s="557"/>
    </row>
    <row r="1545" spans="1:30" s="211" customFormat="1" ht="15.75" customHeight="1">
      <c r="A1545" s="204" t="str">
        <f>IF(B1545&lt;&gt;"",IF(AND(B1545&gt;=_TM1,B1545&lt;=_TM2,OR(TH!L1714="1111",TH!M1714="1111")),TH!D1714,""),"")</f>
        <v/>
      </c>
      <c r="B1545" s="36">
        <f t="shared" si="71"/>
        <v>10</v>
      </c>
      <c r="C1545" s="184">
        <f t="shared" si="70"/>
        <v>42662</v>
      </c>
      <c r="D1545" s="184" t="s">
        <v>1120</v>
      </c>
      <c r="E1545" s="191">
        <v>42662</v>
      </c>
      <c r="F1545" s="40" t="s">
        <v>1287</v>
      </c>
      <c r="G1545" s="456" t="s">
        <v>1362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57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1"/>
      <c r="AC1545" s="557" t="str">
        <f>IF(VLOOKUP(F1545,NXT!$C$35:$C$411,1,0)=F1545,"","x")</f>
        <v/>
      </c>
    </row>
    <row r="1546" spans="1:30" s="211" customFormat="1" ht="15.75" customHeight="1">
      <c r="A1546" s="204" t="str">
        <f>IF(B1546&lt;&gt;"",IF(AND(B1546&gt;=_TM1,B1546&lt;=_TM2,OR(TH!L1715="1111",TH!M1715="1111")),TH!D1715,""),"")</f>
        <v/>
      </c>
      <c r="B1546" s="36">
        <f t="shared" si="71"/>
        <v>10</v>
      </c>
      <c r="C1546" s="184">
        <f t="shared" si="70"/>
        <v>42662</v>
      </c>
      <c r="D1546" s="184" t="s">
        <v>1120</v>
      </c>
      <c r="E1546" s="191">
        <v>42662</v>
      </c>
      <c r="F1546" s="40" t="s">
        <v>656</v>
      </c>
      <c r="G1546" s="456" t="s">
        <v>1362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57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1"/>
      <c r="AC1546" s="557" t="str">
        <f>IF(VLOOKUP(F1546,NXT!$C$35:$C$411,1,0)=F1546,"","x")</f>
        <v/>
      </c>
      <c r="AD1546" s="557"/>
    </row>
    <row r="1547" spans="1:30" s="211" customFormat="1" ht="15.75" customHeight="1">
      <c r="A1547" s="204" t="str">
        <f>IF(B1547&lt;&gt;"",IF(AND(B1547&gt;=_TM1,B1547&lt;=_TM2,OR(TH!L1716="1111",TH!M1716="1111")),TH!D1716,""),"")</f>
        <v/>
      </c>
      <c r="B1547" s="36">
        <f t="shared" si="71"/>
        <v>10</v>
      </c>
      <c r="C1547" s="184">
        <f t="shared" si="70"/>
        <v>42662</v>
      </c>
      <c r="D1547" s="184" t="s">
        <v>1120</v>
      </c>
      <c r="E1547" s="191">
        <v>42662</v>
      </c>
      <c r="F1547" s="40" t="s">
        <v>1285</v>
      </c>
      <c r="G1547" s="456" t="s">
        <v>1362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57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1"/>
      <c r="AC1547" s="557"/>
      <c r="AD1547" s="557"/>
    </row>
    <row r="1548" spans="1:30" s="211" customFormat="1" ht="15.75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1318</v>
      </c>
      <c r="H1548" s="193" t="s">
        <v>1313</v>
      </c>
      <c r="I1548" s="256"/>
      <c r="J1548" s="256"/>
      <c r="K1548" s="565">
        <v>90000000</v>
      </c>
      <c r="L1548" s="194" t="s">
        <v>24</v>
      </c>
      <c r="M1548" s="566" t="s">
        <v>47</v>
      </c>
      <c r="N1548" s="52" t="str">
        <f>IF(AND('331-CT'!$E$7=TH!H1548,OR(L1548="331",M1548="331")),"331",IF(AND(OR(L1548="131",M1548="131"),H1548='131-CT'!$E$7),"131",""))</f>
        <v/>
      </c>
      <c r="O1548" s="857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2"/>
      <c r="AC1548" s="557"/>
      <c r="AD1548" s="557"/>
    </row>
    <row r="1549" spans="1:30" s="211" customFormat="1" ht="15.75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1495</v>
      </c>
      <c r="G1549" s="192" t="s">
        <v>1318</v>
      </c>
      <c r="H1549" s="193" t="s">
        <v>1322</v>
      </c>
      <c r="I1549" s="256"/>
      <c r="J1549" s="256"/>
      <c r="K1549" s="565">
        <v>90000000</v>
      </c>
      <c r="L1549" s="566" t="s">
        <v>790</v>
      </c>
      <c r="M1549" s="566" t="s">
        <v>24</v>
      </c>
      <c r="N1549" s="52" t="str">
        <f>IF(AND('331-CT'!$E$7=TH!H1549,OR(L1549="331",M1549="331")),"331",IF(AND(OR(L1549="131",M1549="131"),H1549='131-CT'!$E$7),"131",""))</f>
        <v/>
      </c>
      <c r="O1549" s="857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2"/>
      <c r="AC1549" s="557"/>
    </row>
    <row r="1550" spans="1:30" s="211" customFormat="1" ht="15.75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1318</v>
      </c>
      <c r="H1550" s="193" t="s">
        <v>705</v>
      </c>
      <c r="I1550" s="256"/>
      <c r="J1550" s="256"/>
      <c r="K1550" s="565">
        <v>5000000</v>
      </c>
      <c r="L1550" s="566" t="s">
        <v>47</v>
      </c>
      <c r="M1550" s="566" t="s">
        <v>24</v>
      </c>
      <c r="N1550" s="52" t="str">
        <f>IF(AND('331-CT'!$E$7=TH!H1550,OR(L1550="331",M1550="331")),"331",IF(AND(OR(L1550="131",M1550="131"),H1550='131-CT'!$E$7),"131",""))</f>
        <v/>
      </c>
      <c r="O1550" s="857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2"/>
      <c r="AC1550" s="557"/>
      <c r="AD1550" s="557"/>
    </row>
    <row r="1551" spans="1:30" s="211" customFormat="1" ht="15.75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1318</v>
      </c>
      <c r="H1551" s="193" t="s">
        <v>705</v>
      </c>
      <c r="I1551" s="256"/>
      <c r="J1551" s="256"/>
      <c r="K1551" s="565">
        <v>300000</v>
      </c>
      <c r="L1551" s="566" t="s">
        <v>24</v>
      </c>
      <c r="M1551" s="566" t="s">
        <v>47</v>
      </c>
      <c r="N1551" s="52" t="str">
        <f>IF(AND('331-CT'!$E$7=TH!H1551,OR(L1551="331",M1551="331")),"331",IF(AND(OR(L1551="131",M1551="131"),H1551='131-CT'!$E$7),"131",""))</f>
        <v/>
      </c>
      <c r="O1551" s="857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2"/>
      <c r="AC1551" s="557"/>
      <c r="AD1551" s="557"/>
    </row>
    <row r="1552" spans="1:30" s="211" customFormat="1" ht="15.75" customHeight="1">
      <c r="A1552" s="204" t="str">
        <f>IF(B1552&lt;&gt;"",IF(AND(B1552&gt;=_TM1,B1552&lt;=_TM2,OR(TH!L1717="1111",TH!M1717="1111")),TH!D1717,""),"")</f>
        <v/>
      </c>
      <c r="B1552" s="36">
        <f t="shared" si="71"/>
        <v>10</v>
      </c>
      <c r="C1552" s="184">
        <f t="shared" si="70"/>
        <v>42664</v>
      </c>
      <c r="D1552" s="184" t="s">
        <v>1121</v>
      </c>
      <c r="E1552" s="191">
        <v>42664</v>
      </c>
      <c r="F1552" s="189" t="s">
        <v>1472</v>
      </c>
      <c r="G1552" s="456" t="s">
        <v>1363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57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1"/>
      <c r="AC1552" s="557" t="str">
        <f>IF(VLOOKUP(F1552,NXT!$C$35:$C$411,1,0)=F1552,"","x")</f>
        <v/>
      </c>
      <c r="AD1552" s="557"/>
    </row>
    <row r="1553" spans="1:33" s="211" customFormat="1" ht="15.75" customHeight="1">
      <c r="A1553" s="204" t="str">
        <f>IF(B1553&lt;&gt;"",IF(AND(B1553&gt;=_TM1,B1553&lt;=_TM2,OR(TH!L1718="1111",TH!M1718="1111")),TH!D1718,""),"")</f>
        <v/>
      </c>
      <c r="B1553" s="36">
        <f t="shared" si="71"/>
        <v>10</v>
      </c>
      <c r="C1553" s="184">
        <f t="shared" si="70"/>
        <v>42664</v>
      </c>
      <c r="D1553" s="184" t="s">
        <v>1121</v>
      </c>
      <c r="E1553" s="191">
        <v>42664</v>
      </c>
      <c r="F1553" s="189" t="s">
        <v>1338</v>
      </c>
      <c r="G1553" s="456" t="s">
        <v>1363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57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1"/>
      <c r="AC1553" s="557" t="str">
        <f>IF(VLOOKUP(F1553,NXT!$C$35:$C$411,1,0)=F1553,"","x")</f>
        <v/>
      </c>
      <c r="AD1553" s="557"/>
    </row>
    <row r="1554" spans="1:33" s="211" customFormat="1" ht="15.75" customHeight="1">
      <c r="A1554" s="204" t="str">
        <f>IF(B1554&lt;&gt;"",IF(AND(B1554&gt;=_TM1,B1554&lt;=_TM2,OR(TH!L1719="1111",TH!M1719="1111")),TH!D1719,""),"")</f>
        <v/>
      </c>
      <c r="B1554" s="36">
        <f t="shared" si="71"/>
        <v>10</v>
      </c>
      <c r="C1554" s="184">
        <f t="shared" si="70"/>
        <v>42664</v>
      </c>
      <c r="D1554" s="184" t="s">
        <v>1121</v>
      </c>
      <c r="E1554" s="191">
        <v>42664</v>
      </c>
      <c r="F1554" s="189" t="s">
        <v>1338</v>
      </c>
      <c r="G1554" s="456" t="s">
        <v>1363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57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1"/>
      <c r="AC1554" s="557" t="str">
        <f>IF(VLOOKUP(F1554,NXT!$C$35:$C$411,1,0)=F1554,"","x")</f>
        <v/>
      </c>
    </row>
    <row r="1555" spans="1:33" s="211" customFormat="1" ht="15.75" customHeight="1">
      <c r="A1555" s="204" t="str">
        <f>IF(B1555&lt;&gt;"",IF(AND(B1555&gt;=_TM1,B1555&lt;=_TM2,OR(TH!L1720="1111",TH!M1720="1111")),TH!D1720,""),"")</f>
        <v/>
      </c>
      <c r="B1555" s="36">
        <f t="shared" si="71"/>
        <v>10</v>
      </c>
      <c r="C1555" s="184">
        <f t="shared" si="70"/>
        <v>42664</v>
      </c>
      <c r="D1555" s="184" t="s">
        <v>1121</v>
      </c>
      <c r="E1555" s="191">
        <v>42664</v>
      </c>
      <c r="F1555" s="189" t="s">
        <v>1341</v>
      </c>
      <c r="G1555" s="456" t="s">
        <v>1363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57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1"/>
      <c r="AC1555" s="557" t="str">
        <f>IF(VLOOKUP(F1555,NXT!$C$35:$C$411,1,0)=F1555,"","x")</f>
        <v/>
      </c>
      <c r="AD1555" s="557"/>
    </row>
    <row r="1556" spans="1:33" s="211" customFormat="1" ht="15.75" customHeight="1">
      <c r="A1556" s="204" t="str">
        <f>IF(B1556&lt;&gt;"",IF(AND(B1556&gt;=_TM1,B1556&lt;=_TM2,OR(TH!L1721="1111",TH!M1721="1111")),TH!D1721,""),"")</f>
        <v/>
      </c>
      <c r="B1556" s="36">
        <f t="shared" si="71"/>
        <v>10</v>
      </c>
      <c r="C1556" s="184">
        <f t="shared" si="70"/>
        <v>42664</v>
      </c>
      <c r="D1556" s="184" t="s">
        <v>1121</v>
      </c>
      <c r="E1556" s="191">
        <v>42664</v>
      </c>
      <c r="F1556" s="189" t="s">
        <v>1339</v>
      </c>
      <c r="G1556" s="456" t="s">
        <v>1363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57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1"/>
      <c r="AC1556" s="557" t="str">
        <f>IF(VLOOKUP(F1556,NXT!$C$35:$C$411,1,0)=F1556,"","x")</f>
        <v/>
      </c>
    </row>
    <row r="1557" spans="1:33" s="211" customFormat="1" ht="15.75" customHeight="1">
      <c r="A1557" s="204" t="str">
        <f>IF(B1557&lt;&gt;"",IF(AND(B1557&gt;=_TM1,B1557&lt;=_TM2,OR(TH!L1722="1111",TH!M1722="1111")),TH!D1722,""),"")</f>
        <v/>
      </c>
      <c r="B1557" s="36">
        <f t="shared" si="71"/>
        <v>10</v>
      </c>
      <c r="C1557" s="184">
        <f t="shared" si="70"/>
        <v>42664</v>
      </c>
      <c r="D1557" s="184" t="s">
        <v>1121</v>
      </c>
      <c r="E1557" s="191">
        <v>42664</v>
      </c>
      <c r="F1557" s="189" t="s">
        <v>1340</v>
      </c>
      <c r="G1557" s="456" t="s">
        <v>1363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57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1"/>
      <c r="AC1557" s="557" t="str">
        <f>IF(VLOOKUP(F1557,NXT!$C$35:$C$411,1,0)=F1557,"","x")</f>
        <v/>
      </c>
      <c r="AD1557" s="557"/>
    </row>
    <row r="1558" spans="1:33" s="827" customFormat="1" ht="15.75" customHeight="1">
      <c r="A1558" s="204" t="str">
        <f>IF(B1558&lt;&gt;"",IF(AND(B1558&gt;=_TM1,B1558&lt;=_TM2,OR(TH!L1723="1111",TH!M1723="1111")),TH!D1723,""),"")</f>
        <v/>
      </c>
      <c r="B1558" s="36">
        <f t="shared" si="71"/>
        <v>10</v>
      </c>
      <c r="C1558" s="184">
        <f t="shared" si="70"/>
        <v>42664</v>
      </c>
      <c r="D1558" s="184" t="s">
        <v>1121</v>
      </c>
      <c r="E1558" s="191">
        <v>42664</v>
      </c>
      <c r="F1558" s="189" t="s">
        <v>1467</v>
      </c>
      <c r="G1558" s="456" t="s">
        <v>1363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57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1"/>
      <c r="AC1558" s="557" t="str">
        <f>IF(VLOOKUP(F1558,NXT!$C$35:$C$411,1,0)=F1558,"","x")</f>
        <v/>
      </c>
      <c r="AD1558" s="557"/>
      <c r="AE1558" s="211"/>
      <c r="AF1558" s="211"/>
      <c r="AG1558" s="211"/>
    </row>
    <row r="1559" spans="1:33" s="211" customFormat="1" ht="15.75" customHeight="1">
      <c r="A1559" s="204" t="str">
        <f>IF(B1559&lt;&gt;"",IF(AND(B1559&gt;=_TM1,B1559&lt;=_TM2,OR(TH!L1724="1111",TH!M1724="1111")),TH!D1724,""),"")</f>
        <v/>
      </c>
      <c r="B1559" s="36">
        <f t="shared" si="71"/>
        <v>10</v>
      </c>
      <c r="C1559" s="184">
        <f t="shared" si="70"/>
        <v>42664</v>
      </c>
      <c r="D1559" s="184" t="s">
        <v>1121</v>
      </c>
      <c r="E1559" s="191">
        <v>42664</v>
      </c>
      <c r="F1559" s="192" t="s">
        <v>1477</v>
      </c>
      <c r="G1559" s="456" t="s">
        <v>1363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57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1"/>
      <c r="AC1559" s="557" t="str">
        <f>IF(VLOOKUP(F1559,NXT!$C$35:$C$411,1,0)=F1559,"","x")</f>
        <v/>
      </c>
    </row>
    <row r="1560" spans="1:33" s="211" customFormat="1" ht="15.75" customHeight="1">
      <c r="A1560" s="204" t="str">
        <f>IF(B1560&lt;&gt;"",IF(AND(B1560&gt;=_TM1,B1560&lt;=_TM2,OR(TH!L1725="1111",TH!M1725="1111")),TH!D1725,""),"")</f>
        <v/>
      </c>
      <c r="B1560" s="36">
        <f t="shared" si="71"/>
        <v>10</v>
      </c>
      <c r="C1560" s="184">
        <f t="shared" si="70"/>
        <v>42664</v>
      </c>
      <c r="D1560" s="184" t="s">
        <v>1121</v>
      </c>
      <c r="E1560" s="191">
        <v>42664</v>
      </c>
      <c r="F1560" s="40" t="s">
        <v>1285</v>
      </c>
      <c r="G1560" s="456" t="s">
        <v>1363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57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1"/>
      <c r="AC1560" s="557"/>
      <c r="AD1560" s="557"/>
    </row>
    <row r="1561" spans="1:33" s="211" customFormat="1" ht="15.75" customHeight="1">
      <c r="A1561" s="204" t="str">
        <f>IF(B1561&lt;&gt;"",IF(AND(B1561&gt;=_TM1,B1561&lt;=_TM2,OR(TH!L1726="1111",TH!M1726="1111")),TH!D1726,""),"")</f>
        <v/>
      </c>
      <c r="B1561" s="36">
        <f t="shared" si="71"/>
        <v>10</v>
      </c>
      <c r="C1561" s="184">
        <f t="shared" si="70"/>
        <v>42665</v>
      </c>
      <c r="D1561" s="184" t="s">
        <v>1122</v>
      </c>
      <c r="E1561" s="191">
        <v>42665</v>
      </c>
      <c r="F1561" s="40" t="s">
        <v>1365</v>
      </c>
      <c r="G1561" s="456" t="s">
        <v>1364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57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1"/>
      <c r="AC1561" s="557" t="str">
        <f>IF(VLOOKUP(F1561,NXT!$C$35:$C$411,1,0)=F1561,"","x")</f>
        <v/>
      </c>
      <c r="AD1561" s="557"/>
    </row>
    <row r="1562" spans="1:33" s="211" customFormat="1" ht="15.75" customHeight="1">
      <c r="A1562" s="204" t="str">
        <f>IF(B1562&lt;&gt;"",IF(AND(B1562&gt;=_TM1,B1562&lt;=_TM2,OR(TH!L1727="1111",TH!M1727="1111")),TH!D1727,""),"")</f>
        <v/>
      </c>
      <c r="B1562" s="36">
        <f t="shared" si="71"/>
        <v>10</v>
      </c>
      <c r="C1562" s="184">
        <f t="shared" si="70"/>
        <v>42665</v>
      </c>
      <c r="D1562" s="184" t="s">
        <v>1122</v>
      </c>
      <c r="E1562" s="191">
        <v>42665</v>
      </c>
      <c r="F1562" s="40" t="s">
        <v>1366</v>
      </c>
      <c r="G1562" s="456" t="s">
        <v>1364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57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1"/>
      <c r="AC1562" s="557" t="str">
        <f>IF(VLOOKUP(F1562,NXT!$C$35:$C$411,1,0)=F1562,"","x")</f>
        <v/>
      </c>
      <c r="AD1562" s="557"/>
    </row>
    <row r="1563" spans="1:33" s="211" customFormat="1" ht="15.75" customHeight="1">
      <c r="A1563" s="204" t="str">
        <f>IF(B1563&lt;&gt;"",IF(AND(B1563&gt;=_TM1,B1563&lt;=_TM2,OR(TH!L1728="1111",TH!M1728="1111")),TH!D1728,""),"")</f>
        <v/>
      </c>
      <c r="B1563" s="36">
        <f t="shared" si="71"/>
        <v>10</v>
      </c>
      <c r="C1563" s="184">
        <f t="shared" si="70"/>
        <v>42665</v>
      </c>
      <c r="D1563" s="184" t="s">
        <v>1122</v>
      </c>
      <c r="E1563" s="191">
        <v>42665</v>
      </c>
      <c r="F1563" s="40" t="s">
        <v>1367</v>
      </c>
      <c r="G1563" s="456" t="s">
        <v>1364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57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1"/>
      <c r="AC1563" s="557" t="str">
        <f>IF(VLOOKUP(F1563,NXT!$C$35:$C$411,1,0)=F1563,"","x")</f>
        <v/>
      </c>
    </row>
    <row r="1564" spans="1:33" s="211" customFormat="1" ht="15.75" customHeight="1">
      <c r="A1564" s="204" t="str">
        <f>IF(B1564&lt;&gt;"",IF(AND(B1564&gt;=_TM1,B1564&lt;=_TM2,OR(TH!L1729="1111",TH!M1729="1111")),TH!D1729,""),"")</f>
        <v/>
      </c>
      <c r="B1564" s="36">
        <f t="shared" si="71"/>
        <v>10</v>
      </c>
      <c r="C1564" s="184">
        <f t="shared" si="70"/>
        <v>42665</v>
      </c>
      <c r="D1564" s="184" t="s">
        <v>1122</v>
      </c>
      <c r="E1564" s="191">
        <v>42665</v>
      </c>
      <c r="F1564" s="40" t="s">
        <v>1285</v>
      </c>
      <c r="G1564" s="456" t="s">
        <v>1364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57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1"/>
      <c r="AC1564" s="557"/>
      <c r="AD1564" s="557"/>
    </row>
    <row r="1565" spans="1:33" s="211" customFormat="1" ht="15.75" customHeight="1">
      <c r="A1565" s="204" t="str">
        <f>IF(B1565&lt;&gt;"",IF(AND(B1565&gt;=_TM1,B1565&lt;=_TM2,OR(TH!L1730="1111",TH!M1730="1111")),TH!D1730,""),"")</f>
        <v/>
      </c>
      <c r="B1565" s="36">
        <f t="shared" si="71"/>
        <v>10</v>
      </c>
      <c r="C1565" s="184">
        <f t="shared" si="70"/>
        <v>42665</v>
      </c>
      <c r="D1565" s="184" t="s">
        <v>1123</v>
      </c>
      <c r="E1565" s="191">
        <v>42665</v>
      </c>
      <c r="F1565" s="40" t="s">
        <v>1369</v>
      </c>
      <c r="G1565" s="456" t="s">
        <v>1368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57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1"/>
      <c r="AC1565" s="557" t="str">
        <f>IF(VLOOKUP(F1565,NXT!$C$35:$C$411,1,0)=F1565,"","x")</f>
        <v/>
      </c>
    </row>
    <row r="1566" spans="1:33" s="211" customFormat="1" ht="15.75" customHeight="1">
      <c r="A1566" s="204" t="str">
        <f>IF(B1566&lt;&gt;"",IF(AND(B1566&gt;=_TM1,B1566&lt;=_TM2,OR(TH!L1731="1111",TH!M1731="1111")),TH!D1731,""),"")</f>
        <v/>
      </c>
      <c r="B1566" s="36">
        <f t="shared" si="71"/>
        <v>10</v>
      </c>
      <c r="C1566" s="184">
        <f t="shared" si="70"/>
        <v>42665</v>
      </c>
      <c r="D1566" s="184" t="s">
        <v>1123</v>
      </c>
      <c r="E1566" s="191">
        <v>42665</v>
      </c>
      <c r="F1566" s="40" t="s">
        <v>1285</v>
      </c>
      <c r="G1566" s="456" t="s">
        <v>1368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57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1"/>
      <c r="AC1566" s="557"/>
      <c r="AD1566" s="557"/>
    </row>
    <row r="1567" spans="1:33" s="211" customFormat="1" ht="15.75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1321</v>
      </c>
      <c r="G1567" s="192" t="s">
        <v>1318</v>
      </c>
      <c r="H1567" s="193" t="s">
        <v>1497</v>
      </c>
      <c r="I1567" s="256"/>
      <c r="J1567" s="256"/>
      <c r="K1567" s="565">
        <v>250000000</v>
      </c>
      <c r="L1567" s="566" t="s">
        <v>24</v>
      </c>
      <c r="M1567" s="566" t="s">
        <v>790</v>
      </c>
      <c r="N1567" s="52" t="str">
        <f>IF(AND('331-CT'!$E$7=TH!H1567,OR(L1567="331",M1567="331")),"331",IF(AND(OR(L1567="131",M1567="131"),H1567='131-CT'!$E$7),"131",""))</f>
        <v/>
      </c>
      <c r="O1567" s="857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2"/>
      <c r="AC1567" s="557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1318</v>
      </c>
      <c r="H1568" s="193"/>
      <c r="I1568" s="256"/>
      <c r="J1568" s="256"/>
      <c r="K1568" s="565">
        <v>20566500</v>
      </c>
      <c r="L1568" s="566" t="s">
        <v>8</v>
      </c>
      <c r="M1568" s="566" t="s">
        <v>24</v>
      </c>
      <c r="N1568" s="52" t="str">
        <f>IF(AND('331-CT'!$E$7=TH!H1568,OR(L1568="331",M1568="331")),"331",IF(AND(OR(L1568="131",M1568="131"),H1568='131-CT'!$E$7),"131",""))</f>
        <v/>
      </c>
      <c r="O1568" s="857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2"/>
      <c r="AC1568" s="557"/>
      <c r="AD1568" s="557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1318</v>
      </c>
      <c r="H1569" s="193"/>
      <c r="I1569" s="256"/>
      <c r="J1569" s="256"/>
      <c r="K1569" s="565">
        <v>203522385</v>
      </c>
      <c r="L1569" s="566" t="s">
        <v>8</v>
      </c>
      <c r="M1569" s="566" t="s">
        <v>24</v>
      </c>
      <c r="N1569" s="52" t="str">
        <f>IF(AND('331-CT'!$E$7=TH!H1569,OR(L1569="331",M1569="331")),"331",IF(AND(OR(L1569="131",M1569="131"),H1569='131-CT'!$E$7),"131",""))</f>
        <v/>
      </c>
      <c r="O1569" s="857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2"/>
      <c r="AC1569" s="557"/>
      <c r="AD1569" s="557"/>
    </row>
    <row r="1570" spans="1:30" s="211" customFormat="1" ht="15.75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1318</v>
      </c>
      <c r="H1570" s="193" t="s">
        <v>705</v>
      </c>
      <c r="I1570" s="256"/>
      <c r="J1570" s="256"/>
      <c r="K1570" s="565">
        <v>25500000</v>
      </c>
      <c r="L1570" s="566" t="s">
        <v>47</v>
      </c>
      <c r="M1570" s="566" t="s">
        <v>24</v>
      </c>
      <c r="N1570" s="52" t="str">
        <f>IF(AND('331-CT'!$E$7=TH!H1570,OR(L1570="331",M1570="331")),"331",IF(AND(OR(L1570="131",M1570="131"),H1570='131-CT'!$E$7),"131",""))</f>
        <v/>
      </c>
      <c r="O1570" s="857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2"/>
      <c r="AC1570" s="557"/>
    </row>
    <row r="1571" spans="1:30" s="211" customFormat="1" ht="15.75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1498</v>
      </c>
      <c r="G1571" s="192" t="s">
        <v>1318</v>
      </c>
      <c r="H1571" s="193"/>
      <c r="I1571" s="256"/>
      <c r="J1571" s="256"/>
      <c r="K1571" s="565">
        <v>25000</v>
      </c>
      <c r="L1571" s="566" t="s">
        <v>83</v>
      </c>
      <c r="M1571" s="566" t="s">
        <v>24</v>
      </c>
      <c r="N1571" s="52" t="str">
        <f>IF(AND('331-CT'!$E$7=TH!H1571,OR(L1571="331",M1571="331")),"331",IF(AND(OR(L1571="131",M1571="131"),H1571='131-CT'!$E$7),"131",""))</f>
        <v/>
      </c>
      <c r="O1571" s="857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2">
        <v>4</v>
      </c>
      <c r="AC1571" s="557"/>
      <c r="AD1571" s="557"/>
    </row>
    <row r="1572" spans="1:30" s="211" customFormat="1" ht="15.75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1499</v>
      </c>
      <c r="G1572" s="192" t="s">
        <v>1318</v>
      </c>
      <c r="H1572" s="7"/>
      <c r="I1572" s="256"/>
      <c r="J1572" s="256"/>
      <c r="K1572" s="565">
        <v>2500</v>
      </c>
      <c r="L1572" s="194" t="s">
        <v>9</v>
      </c>
      <c r="M1572" s="566" t="s">
        <v>24</v>
      </c>
      <c r="N1572" s="52" t="str">
        <f>IF(AND('331-CT'!$E$7=TH!H1572,OR(L1572="331",M1572="331")),"331",IF(AND(OR(L1572="131",M1572="131"),H1572='131-CT'!$E$7),"131",""))</f>
        <v/>
      </c>
      <c r="O1572" s="857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2">
        <v>4</v>
      </c>
      <c r="AC1572" s="557"/>
      <c r="AD1572" s="557"/>
    </row>
    <row r="1573" spans="1:30" s="211" customFormat="1" ht="15.75" customHeight="1">
      <c r="A1573" s="204" t="str">
        <f>IF(B1573&lt;&gt;"",IF(AND(B1573&gt;=_TM1,B1573&lt;=_TM2,OR(TH!L1732="1111",TH!M1732="1111")),TH!D1732,""),"")</f>
        <v/>
      </c>
      <c r="B1573" s="36">
        <f t="shared" si="71"/>
        <v>10</v>
      </c>
      <c r="C1573" s="184">
        <f t="shared" si="70"/>
        <v>42667</v>
      </c>
      <c r="D1573" s="184" t="s">
        <v>1124</v>
      </c>
      <c r="E1573" s="191">
        <v>42667</v>
      </c>
      <c r="F1573" s="40" t="s">
        <v>1286</v>
      </c>
      <c r="G1573" s="456" t="s">
        <v>1370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57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1"/>
      <c r="AC1573" s="557" t="str">
        <f>IF(VLOOKUP(F1573,NXT!$C$35:$C$411,1,0)=F1573,"","x")</f>
        <v/>
      </c>
      <c r="AD1573" s="557"/>
    </row>
    <row r="1574" spans="1:30" s="211" customFormat="1" ht="15.75" customHeight="1">
      <c r="A1574" s="204" t="str">
        <f>IF(B1574&lt;&gt;"",IF(AND(B1574&gt;=_TM1,B1574&lt;=_TM2,OR(TH!L1733="1111",TH!M1733="1111")),TH!D1733,""),"")</f>
        <v/>
      </c>
      <c r="B1574" s="36">
        <f t="shared" si="71"/>
        <v>10</v>
      </c>
      <c r="C1574" s="184">
        <f t="shared" si="70"/>
        <v>42667</v>
      </c>
      <c r="D1574" s="184" t="s">
        <v>1124</v>
      </c>
      <c r="E1574" s="191">
        <v>42667</v>
      </c>
      <c r="F1574" s="40" t="s">
        <v>655</v>
      </c>
      <c r="G1574" s="456" t="s">
        <v>1370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57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1"/>
      <c r="AC1574" s="557" t="str">
        <f>IF(VLOOKUP(F1574,NXT!$C$35:$C$411,1,0)=F1574,"","x")</f>
        <v/>
      </c>
      <c r="AD1574" s="557"/>
    </row>
    <row r="1575" spans="1:30" s="211" customFormat="1" ht="15.75" customHeight="1">
      <c r="A1575" s="204" t="str">
        <f>IF(B1575&lt;&gt;"",IF(AND(B1575&gt;=_TM1,B1575&lt;=_TM2,OR(TH!L1734="1111",TH!M1734="1111")),TH!D1734,""),"")</f>
        <v>GBC</v>
      </c>
      <c r="B1575" s="36">
        <f t="shared" si="71"/>
        <v>10</v>
      </c>
      <c r="C1575" s="184">
        <f t="shared" si="70"/>
        <v>42667</v>
      </c>
      <c r="D1575" s="184" t="s">
        <v>1124</v>
      </c>
      <c r="E1575" s="191">
        <v>42667</v>
      </c>
      <c r="F1575" s="40" t="s">
        <v>1285</v>
      </c>
      <c r="G1575" s="456" t="s">
        <v>1370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57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1"/>
      <c r="AC1575" s="557"/>
      <c r="AD1575" s="557"/>
    </row>
    <row r="1576" spans="1:30" s="211" customFormat="1" ht="15.75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65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57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2"/>
      <c r="AC1576" s="557"/>
      <c r="AD1576" s="557"/>
    </row>
    <row r="1577" spans="1:30" s="211" customFormat="1" ht="15.75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65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57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2"/>
      <c r="AC1577" s="557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65">
        <v>5000000</v>
      </c>
      <c r="L1578" s="194" t="s">
        <v>8</v>
      </c>
      <c r="M1578" s="566" t="s">
        <v>24</v>
      </c>
      <c r="N1578" s="52" t="str">
        <f>IF(AND('331-CT'!$E$7=TH!H1578,OR(L1578="331",M1578="331")),"331",IF(AND(OR(L1578="131",M1578="131"),H1578='131-CT'!$E$7),"131",""))</f>
        <v/>
      </c>
      <c r="O1578" s="857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2"/>
      <c r="AC1578" s="557"/>
    </row>
    <row r="1579" spans="1:30" s="211" customFormat="1" ht="15.75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65">
        <v>13636</v>
      </c>
      <c r="L1579" s="566" t="s">
        <v>83</v>
      </c>
      <c r="M1579" s="566" t="s">
        <v>24</v>
      </c>
      <c r="N1579" s="52" t="str">
        <f>IF(AND('331-CT'!$E$7=TH!H1579,OR(L1579="331",M1579="331")),"331",IF(AND(OR(L1579="131",M1579="131"),H1579='131-CT'!$E$7),"131",""))</f>
        <v/>
      </c>
      <c r="O1579" s="857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1">
        <v>4</v>
      </c>
      <c r="AC1579" s="557"/>
      <c r="AD1579" s="557"/>
    </row>
    <row r="1580" spans="1:30" s="211" customFormat="1" ht="15.75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65">
        <v>1364</v>
      </c>
      <c r="L1580" s="194" t="s">
        <v>9</v>
      </c>
      <c r="M1580" s="566" t="s">
        <v>24</v>
      </c>
      <c r="N1580" s="52" t="str">
        <f>IF(AND('331-CT'!$E$7=TH!H1580,OR(L1580="331",M1580="331")),"331",IF(AND(OR(L1580="131",M1580="131"),H1580='131-CT'!$E$7),"131",""))</f>
        <v/>
      </c>
      <c r="O1580" s="857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1">
        <v>4</v>
      </c>
      <c r="AC1580" s="557"/>
      <c r="AD1580" s="557"/>
    </row>
    <row r="1581" spans="1:30" s="211" customFormat="1" ht="15.75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65">
        <v>13636</v>
      </c>
      <c r="L1581" s="566" t="s">
        <v>83</v>
      </c>
      <c r="M1581" s="566" t="s">
        <v>24</v>
      </c>
      <c r="N1581" s="52" t="str">
        <f>IF(AND('331-CT'!$E$7=TH!H1581,OR(L1581="331",M1581="331")),"331",IF(AND(OR(L1581="131",M1581="131"),H1581='131-CT'!$E$7),"131",""))</f>
        <v/>
      </c>
      <c r="O1581" s="857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1">
        <v>4</v>
      </c>
      <c r="AC1581" s="557"/>
    </row>
    <row r="1582" spans="1:30" s="211" customFormat="1" ht="15.75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65">
        <v>1364</v>
      </c>
      <c r="L1582" s="194" t="s">
        <v>9</v>
      </c>
      <c r="M1582" s="566" t="s">
        <v>24</v>
      </c>
      <c r="N1582" s="52" t="str">
        <f>IF(AND('331-CT'!$E$7=TH!H1582,OR(L1582="331",M1582="331")),"331",IF(AND(OR(L1582="131",M1582="131"),H1582='131-CT'!$E$7),"131",""))</f>
        <v/>
      </c>
      <c r="O1582" s="857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1">
        <v>4</v>
      </c>
      <c r="AC1582" s="557"/>
      <c r="AD1582" s="557"/>
    </row>
    <row r="1583" spans="1:30" s="211" customFormat="1" ht="15.75" customHeight="1">
      <c r="A1583" s="204" t="str">
        <f>IF(B1583&lt;&gt;"",IF(AND(B1583&gt;=_TM1,B1583&lt;=_TM2,OR(TH!L1735="1111",TH!M1735="1111")),TH!D1735,""),"")</f>
        <v/>
      </c>
      <c r="B1583" s="36">
        <f t="shared" si="71"/>
        <v>10</v>
      </c>
      <c r="C1583" s="184">
        <f t="shared" si="70"/>
        <v>42668</v>
      </c>
      <c r="D1583" s="184" t="s">
        <v>1125</v>
      </c>
      <c r="E1583" s="191">
        <v>42668</v>
      </c>
      <c r="F1583" s="40" t="s">
        <v>1372</v>
      </c>
      <c r="G1583" s="456" t="s">
        <v>1371</v>
      </c>
      <c r="H1583" s="193" t="s">
        <v>595</v>
      </c>
      <c r="I1583" s="709">
        <v>720</v>
      </c>
      <c r="J1583" s="709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57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1"/>
      <c r="AC1583" s="557" t="str">
        <f>IF(VLOOKUP(F1583,NXT!$C$35:$C$411,1,0)=F1583,"","x")</f>
        <v/>
      </c>
      <c r="AD1583" s="557"/>
    </row>
    <row r="1584" spans="1:30" s="211" customFormat="1" ht="15.75" customHeight="1">
      <c r="A1584" s="204" t="str">
        <f>IF(B1584&lt;&gt;"",IF(AND(B1584&gt;=_TM1,B1584&lt;=_TM2,OR(TH!L1736="1111",TH!M1736="1111")),TH!D1736,""),"")</f>
        <v/>
      </c>
      <c r="B1584" s="36">
        <f t="shared" si="71"/>
        <v>10</v>
      </c>
      <c r="C1584" s="184">
        <f t="shared" si="70"/>
        <v>42668</v>
      </c>
      <c r="D1584" s="184" t="s">
        <v>1125</v>
      </c>
      <c r="E1584" s="191">
        <v>42668</v>
      </c>
      <c r="F1584" s="40" t="s">
        <v>1373</v>
      </c>
      <c r="G1584" s="456" t="s">
        <v>1371</v>
      </c>
      <c r="H1584" s="193" t="s">
        <v>595</v>
      </c>
      <c r="I1584" s="709">
        <v>313</v>
      </c>
      <c r="J1584" s="709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57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1"/>
      <c r="AC1584" s="557" t="str">
        <f>IF(VLOOKUP(F1584,NXT!$C$35:$C$411,1,0)=F1584,"","x")</f>
        <v/>
      </c>
      <c r="AD1584" s="557"/>
    </row>
    <row r="1585" spans="1:30" s="211" customFormat="1" ht="15.75" customHeight="1">
      <c r="A1585" s="204" t="str">
        <f>IF(B1585&lt;&gt;"",IF(AND(B1585&gt;=_TM1,B1585&lt;=_TM2,OR(TH!L1737="1111",TH!M1737="1111")),TH!D1737,""),"")</f>
        <v/>
      </c>
      <c r="B1585" s="36">
        <f t="shared" si="71"/>
        <v>10</v>
      </c>
      <c r="C1585" s="184">
        <f t="shared" si="70"/>
        <v>42668</v>
      </c>
      <c r="D1585" s="184" t="s">
        <v>1125</v>
      </c>
      <c r="E1585" s="191">
        <v>42668</v>
      </c>
      <c r="F1585" s="40" t="s">
        <v>1285</v>
      </c>
      <c r="G1585" s="456" t="s">
        <v>1371</v>
      </c>
      <c r="H1585" s="193" t="s">
        <v>595</v>
      </c>
      <c r="I1585" s="709"/>
      <c r="J1585" s="709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57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1"/>
      <c r="AC1585" s="557"/>
      <c r="AD1585" s="557"/>
    </row>
    <row r="1586" spans="1:30" s="211" customFormat="1" ht="15.75" customHeight="1">
      <c r="A1586" s="204" t="str">
        <f>IF(B1586&lt;&gt;"",IF(AND(B1586&gt;=_TM1,B1586&lt;=_TM2,OR(TH!L1738="1111",TH!M1738="1111")),TH!D1738,""),"")</f>
        <v/>
      </c>
      <c r="B1586" s="36">
        <f t="shared" ref="B1586:B1587" si="73">IF(C1586&lt;&gt;"",MONTH(C1586),"")</f>
        <v>10</v>
      </c>
      <c r="C1586" s="184">
        <f t="shared" ref="C1586:C1587" si="74">E1586</f>
        <v>42668</v>
      </c>
      <c r="D1586" s="184" t="s">
        <v>334</v>
      </c>
      <c r="E1586" s="191">
        <v>42668</v>
      </c>
      <c r="F1586" s="40" t="s">
        <v>1592</v>
      </c>
      <c r="G1586" s="456" t="s">
        <v>1594</v>
      </c>
      <c r="H1586" s="193" t="s">
        <v>1595</v>
      </c>
      <c r="I1586" s="709"/>
      <c r="J1586" s="709"/>
      <c r="K1586" s="38">
        <v>621363636</v>
      </c>
      <c r="L1586" s="194" t="s">
        <v>260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857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1">
        <v>4</v>
      </c>
      <c r="AC1586" s="557"/>
      <c r="AD1586" s="557"/>
    </row>
    <row r="1587" spans="1:30" s="211" customFormat="1" ht="15.75" customHeight="1">
      <c r="A1587" s="204" t="str">
        <f>IF(B1587&lt;&gt;"",IF(AND(B1587&gt;=_TM1,B1587&lt;=_TM2,OR(TH!L1739="1111",TH!M1739="1111")),TH!D1739,""),"")</f>
        <v/>
      </c>
      <c r="B1587" s="36">
        <f t="shared" si="73"/>
        <v>10</v>
      </c>
      <c r="C1587" s="184">
        <f t="shared" si="74"/>
        <v>42668</v>
      </c>
      <c r="D1587" s="184" t="s">
        <v>334</v>
      </c>
      <c r="E1587" s="191">
        <v>42668</v>
      </c>
      <c r="F1587" s="40" t="s">
        <v>1593</v>
      </c>
      <c r="G1587" s="456" t="s">
        <v>1594</v>
      </c>
      <c r="H1587" s="193" t="s">
        <v>1595</v>
      </c>
      <c r="I1587" s="709"/>
      <c r="J1587" s="709"/>
      <c r="K1587" s="38">
        <v>62136364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857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1">
        <v>4</v>
      </c>
      <c r="AC1587" s="557"/>
      <c r="AD1587" s="557"/>
    </row>
    <row r="1588" spans="1:30" s="211" customFormat="1" ht="15.75" customHeight="1">
      <c r="A1588" s="204" t="str">
        <f>IF(B1588&lt;&gt;"",IF(AND(B1588&gt;=_TM1,B1588&lt;=_TM2,OR(TH!L497="1111",TH!M497="1111")),TH!D497,""),"")</f>
        <v/>
      </c>
      <c r="B1588" s="36">
        <f t="shared" si="71"/>
        <v>10</v>
      </c>
      <c r="C1588" s="184">
        <f t="shared" si="70"/>
        <v>42669</v>
      </c>
      <c r="D1588" s="184" t="s">
        <v>695</v>
      </c>
      <c r="E1588" s="191">
        <v>42669</v>
      </c>
      <c r="F1588" s="192" t="s">
        <v>696</v>
      </c>
      <c r="G1588" s="192" t="s">
        <v>332</v>
      </c>
      <c r="H1588" s="7" t="s">
        <v>645</v>
      </c>
      <c r="I1588" s="256"/>
      <c r="J1588" s="256"/>
      <c r="K1588" s="565">
        <v>14027200</v>
      </c>
      <c r="L1588" s="194" t="s">
        <v>24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857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2"/>
      <c r="AC1588" s="557"/>
      <c r="AD1588" s="557"/>
    </row>
    <row r="1589" spans="1:30" s="211" customFormat="1" ht="15.75" customHeight="1">
      <c r="A1589" s="204" t="str">
        <f>IF(B1589&lt;&gt;"",IF(AND(B1589&gt;=_TM1,B1589&lt;=_TM2,OR(TH!L1738="1111",TH!M1738="1111")),TH!D1738,""),"")</f>
        <v/>
      </c>
      <c r="B1589" s="36">
        <f t="shared" si="71"/>
        <v>10</v>
      </c>
      <c r="C1589" s="184">
        <f t="shared" si="70"/>
        <v>42669</v>
      </c>
      <c r="D1589" s="184" t="s">
        <v>1126</v>
      </c>
      <c r="E1589" s="191">
        <v>42669</v>
      </c>
      <c r="F1589" s="40" t="s">
        <v>1099</v>
      </c>
      <c r="G1589" s="456" t="s">
        <v>1374</v>
      </c>
      <c r="H1589" s="210" t="s">
        <v>557</v>
      </c>
      <c r="I1589" s="257">
        <v>60</v>
      </c>
      <c r="J1589" s="257">
        <v>54530</v>
      </c>
      <c r="K1589" s="38">
        <f>ROUND(I1589*J1589,0)</f>
        <v>3271800</v>
      </c>
      <c r="L1589" s="194" t="s">
        <v>259</v>
      </c>
      <c r="M1589" s="194" t="s">
        <v>174</v>
      </c>
      <c r="N1589" s="52" t="str">
        <f>IF(AND('331-CT'!$E$7=TH!H1589,OR(L1589="331",M1589="331")),"331",IF(AND(OR(L1589="131",M1589="131"),H1589='131-CT'!$E$7),"131",""))</f>
        <v/>
      </c>
      <c r="O1589" s="857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1"/>
      <c r="AC1589" s="557" t="str">
        <f>IF(VLOOKUP(F1589,NXT!$C$35:$C$411,1,0)=F1589,"","x")</f>
        <v/>
      </c>
      <c r="AD1589" s="557"/>
    </row>
    <row r="1590" spans="1:30" s="211" customFormat="1" ht="15.75" customHeight="1">
      <c r="A1590" s="204" t="str">
        <f>IF(B1590&lt;&gt;"",IF(AND(B1590&gt;=_TM1,B1590&lt;=_TM2,OR(TH!L1739="1111",TH!M1739="1111")),TH!D1739,""),"")</f>
        <v/>
      </c>
      <c r="B1590" s="36">
        <f t="shared" si="71"/>
        <v>10</v>
      </c>
      <c r="C1590" s="184">
        <f t="shared" si="70"/>
        <v>42669</v>
      </c>
      <c r="D1590" s="184" t="s">
        <v>1126</v>
      </c>
      <c r="E1590" s="191">
        <v>42669</v>
      </c>
      <c r="F1590" s="40" t="s">
        <v>448</v>
      </c>
      <c r="G1590" s="456" t="s">
        <v>1374</v>
      </c>
      <c r="H1590" s="210" t="s">
        <v>557</v>
      </c>
      <c r="I1590" s="257">
        <v>154</v>
      </c>
      <c r="J1590" s="257">
        <v>47449</v>
      </c>
      <c r="K1590" s="38">
        <f>ROUND(I1590*J1590,0)</f>
        <v>7307146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/>
      </c>
      <c r="O1590" s="857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1"/>
      <c r="AC1590" s="557" t="str">
        <f>IF(VLOOKUP(F1590,NXT!$C$35:$C$411,1,0)=F1590,"","x")</f>
        <v/>
      </c>
      <c r="AD1590" s="557"/>
    </row>
    <row r="1591" spans="1:30" s="211" customFormat="1" ht="15.75" customHeight="1">
      <c r="A1591" s="204" t="str">
        <f>IF(B1591&lt;&gt;"",IF(AND(B1591&gt;=_TM1,B1591&lt;=_TM2,OR(TH!L1740="1111",TH!M1740="1111")),TH!D1740,""),"")</f>
        <v/>
      </c>
      <c r="B1591" s="36">
        <f t="shared" si="71"/>
        <v>10</v>
      </c>
      <c r="C1591" s="184">
        <f t="shared" si="70"/>
        <v>42669</v>
      </c>
      <c r="D1591" s="184" t="s">
        <v>1126</v>
      </c>
      <c r="E1591" s="191">
        <v>42669</v>
      </c>
      <c r="F1591" s="40" t="s">
        <v>1285</v>
      </c>
      <c r="G1591" s="456" t="s">
        <v>1374</v>
      </c>
      <c r="H1591" s="210" t="s">
        <v>557</v>
      </c>
      <c r="I1591" s="257"/>
      <c r="J1591" s="257"/>
      <c r="K1591" s="38">
        <v>1057894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57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1"/>
      <c r="AC1591" s="557"/>
    </row>
    <row r="1592" spans="1:30" s="211" customFormat="1" ht="15.75" customHeight="1">
      <c r="A1592" s="204" t="str">
        <f>IF(B1592&lt;&gt;"",IF(AND(B1592&gt;=_TM1,B1592&lt;=_TM2,OR(TH!L1741="1111",TH!M1741="1111")),TH!D1741,""),"")</f>
        <v/>
      </c>
      <c r="B1592" s="36">
        <f t="shared" si="71"/>
        <v>10</v>
      </c>
      <c r="C1592" s="184">
        <f t="shared" si="70"/>
        <v>42669</v>
      </c>
      <c r="D1592" s="184" t="s">
        <v>1127</v>
      </c>
      <c r="E1592" s="191">
        <v>42669</v>
      </c>
      <c r="F1592" s="40" t="s">
        <v>710</v>
      </c>
      <c r="G1592" s="456" t="s">
        <v>1375</v>
      </c>
      <c r="H1592" s="749" t="s">
        <v>808</v>
      </c>
      <c r="I1592" s="257">
        <v>220</v>
      </c>
      <c r="J1592" s="257">
        <v>9300</v>
      </c>
      <c r="K1592" s="38">
        <f>ROUND(I1592*J1592,0)</f>
        <v>2046000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>131</v>
      </c>
      <c r="O1592" s="857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1"/>
      <c r="AC1592" s="557"/>
      <c r="AD1592" s="557"/>
    </row>
    <row r="1593" spans="1:30" s="211" customFormat="1" ht="15.75" customHeight="1">
      <c r="A1593" s="204" t="str">
        <f>IF(B1593&lt;&gt;"",IF(AND(B1593&gt;=_TM1,B1593&lt;=_TM2,OR(TH!L1742="1111",TH!M1742="1111")),TH!D1742,""),"")</f>
        <v/>
      </c>
      <c r="B1593" s="36">
        <f t="shared" si="71"/>
        <v>10</v>
      </c>
      <c r="C1593" s="184">
        <f t="shared" si="70"/>
        <v>42669</v>
      </c>
      <c r="D1593" s="184" t="s">
        <v>1127</v>
      </c>
      <c r="E1593" s="191">
        <v>42669</v>
      </c>
      <c r="F1593" s="40" t="s">
        <v>1285</v>
      </c>
      <c r="G1593" s="456" t="s">
        <v>1375</v>
      </c>
      <c r="H1593" s="749" t="s">
        <v>808</v>
      </c>
      <c r="I1593" s="257"/>
      <c r="J1593" s="257"/>
      <c r="K1593" s="38">
        <v>204600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>131</v>
      </c>
      <c r="O1593" s="857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1"/>
      <c r="AC1593" s="557"/>
    </row>
    <row r="1594" spans="1:30" s="211" customFormat="1" ht="15.75" customHeight="1">
      <c r="A1594" s="204" t="str">
        <f>IF(B1594&lt;&gt;"",IF(AND(B1594&gt;=_TM1,B1594&lt;=_TM2,OR(TH!L1743="1111",TH!M1743="1111")),TH!D1743,""),"")</f>
        <v/>
      </c>
      <c r="B1594" s="36">
        <f t="shared" si="71"/>
        <v>10</v>
      </c>
      <c r="C1594" s="184">
        <f t="shared" si="70"/>
        <v>42669</v>
      </c>
      <c r="D1594" s="184" t="s">
        <v>1128</v>
      </c>
      <c r="E1594" s="191">
        <v>42669</v>
      </c>
      <c r="F1594" s="40" t="s">
        <v>1475</v>
      </c>
      <c r="G1594" s="456" t="s">
        <v>1376</v>
      </c>
      <c r="H1594" s="193" t="s">
        <v>1377</v>
      </c>
      <c r="I1594" s="257">
        <v>520</v>
      </c>
      <c r="J1594" s="257">
        <v>3311</v>
      </c>
      <c r="K1594" s="38">
        <f>ROUND(I1594*J1594,0)</f>
        <v>1721720</v>
      </c>
      <c r="L1594" s="194" t="s">
        <v>259</v>
      </c>
      <c r="M1594" s="194" t="s">
        <v>174</v>
      </c>
      <c r="N1594" s="52" t="str">
        <f>IF(AND('331-CT'!$E$7=TH!H1594,OR(L1594="331",M1594="331")),"331",IF(AND(OR(L1594="131",M1594="131"),H1594='131-CT'!$E$7),"131",""))</f>
        <v/>
      </c>
      <c r="O1594" s="857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1"/>
      <c r="AC1594" s="557" t="str">
        <f>IF(VLOOKUP(F1594,NXT!$C$35:$C$411,1,0)=F1594,"","x")</f>
        <v/>
      </c>
      <c r="AD1594" s="557"/>
    </row>
    <row r="1595" spans="1:30" s="211" customFormat="1" ht="15.75" customHeight="1">
      <c r="A1595" s="204" t="str">
        <f>IF(B1595&lt;&gt;"",IF(AND(B1595&gt;=_TM1,B1595&lt;=_TM2,OR(TH!L1744="1111",TH!M1744="1111")),TH!D1744,""),"")</f>
        <v/>
      </c>
      <c r="B1595" s="36">
        <f t="shared" si="71"/>
        <v>10</v>
      </c>
      <c r="C1595" s="184">
        <f t="shared" si="70"/>
        <v>42669</v>
      </c>
      <c r="D1595" s="184" t="s">
        <v>1128</v>
      </c>
      <c r="E1595" s="191">
        <v>42669</v>
      </c>
      <c r="F1595" s="40" t="s">
        <v>1475</v>
      </c>
      <c r="G1595" s="456" t="s">
        <v>1376</v>
      </c>
      <c r="H1595" s="193" t="s">
        <v>1377</v>
      </c>
      <c r="I1595" s="257">
        <v>550</v>
      </c>
      <c r="J1595" s="257">
        <v>3542</v>
      </c>
      <c r="K1595" s="38">
        <f>ROUND(I1595*J1595,0)</f>
        <v>1948100</v>
      </c>
      <c r="L1595" s="194" t="s">
        <v>259</v>
      </c>
      <c r="M1595" s="194" t="s">
        <v>174</v>
      </c>
      <c r="N1595" s="52" t="str">
        <f>IF(AND('331-CT'!$E$7=TH!H1595,OR(L1595="331",M1595="331")),"331",IF(AND(OR(L1595="131",M1595="131"),H1595='131-CT'!$E$7),"131",""))</f>
        <v/>
      </c>
      <c r="O1595" s="857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1"/>
      <c r="AC1595" s="557" t="str">
        <f>IF(VLOOKUP(F1595,NXT!$C$35:$C$411,1,0)=F1595,"","x")</f>
        <v/>
      </c>
    </row>
    <row r="1596" spans="1:30" s="211" customFormat="1" ht="15.75" customHeight="1">
      <c r="A1596" s="204" t="str">
        <f>IF(B1596&lt;&gt;"",IF(AND(B1596&gt;=_TM1,B1596&lt;=_TM2,OR(TH!L1745="1111",TH!M1745="1111")),TH!D1745,""),"")</f>
        <v/>
      </c>
      <c r="B1596" s="36">
        <f t="shared" si="71"/>
        <v>10</v>
      </c>
      <c r="C1596" s="184">
        <f t="shared" si="70"/>
        <v>42669</v>
      </c>
      <c r="D1596" s="184" t="s">
        <v>1128</v>
      </c>
      <c r="E1596" s="191">
        <v>42669</v>
      </c>
      <c r="F1596" s="40" t="s">
        <v>1285</v>
      </c>
      <c r="G1596" s="456" t="s">
        <v>1376</v>
      </c>
      <c r="H1596" s="193" t="s">
        <v>1377</v>
      </c>
      <c r="I1596" s="257"/>
      <c r="J1596" s="257"/>
      <c r="K1596" s="38">
        <v>366982</v>
      </c>
      <c r="L1596" s="194" t="s">
        <v>259</v>
      </c>
      <c r="M1596" s="194" t="s">
        <v>370</v>
      </c>
      <c r="N1596" s="52" t="str">
        <f>IF(AND('331-CT'!$E$7=TH!H1596,OR(L1596="331",M1596="331")),"331",IF(AND(OR(L1596="131",M1596="131"),H1596='131-CT'!$E$7),"131",""))</f>
        <v/>
      </c>
      <c r="O1596" s="857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1"/>
      <c r="AC1596" s="557"/>
      <c r="AD1596" s="557"/>
    </row>
    <row r="1597" spans="1:30" s="211" customFormat="1" ht="15.75" customHeight="1">
      <c r="A1597" s="204" t="str">
        <f>IF(B1597&lt;&gt;"",IF(AND(B1597&gt;=_TM1,B1597&lt;=_TM2,OR(TH!L541="1111",TH!M541="1111")),TH!D541,""),"")</f>
        <v/>
      </c>
      <c r="B1597" s="36">
        <f t="shared" si="71"/>
        <v>10</v>
      </c>
      <c r="C1597" s="184">
        <f t="shared" si="70"/>
        <v>42670</v>
      </c>
      <c r="D1597" s="184" t="s">
        <v>699</v>
      </c>
      <c r="E1597" s="191">
        <v>42670</v>
      </c>
      <c r="F1597" s="192" t="s">
        <v>701</v>
      </c>
      <c r="G1597" s="192" t="s">
        <v>332</v>
      </c>
      <c r="H1597" s="7"/>
      <c r="I1597" s="256"/>
      <c r="J1597" s="256"/>
      <c r="K1597" s="565">
        <v>14000000</v>
      </c>
      <c r="L1597" s="194" t="s">
        <v>8</v>
      </c>
      <c r="M1597" s="566" t="s">
        <v>24</v>
      </c>
      <c r="N1597" s="52" t="str">
        <f>IF(AND('331-CT'!$E$7=TH!H1597,OR(L1597="331",M1597="331")),"331",IF(AND(OR(L1597="131",M1597="131"),H1597='131-CT'!$E$7),"131",""))</f>
        <v/>
      </c>
      <c r="O1597" s="857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2"/>
      <c r="AC1597" s="557"/>
    </row>
    <row r="1598" spans="1:30" s="211" customFormat="1" ht="15.75" customHeight="1">
      <c r="A1598" s="204" t="str">
        <f>IF(B1598&lt;&gt;"",IF(AND(B1598&gt;=_TM1,B1598&lt;=_TM2,OR(TH!L542="1111",TH!M542="1111")),TH!D542,""),"")</f>
        <v>GBC</v>
      </c>
      <c r="B1598" s="36">
        <f t="shared" si="71"/>
        <v>10</v>
      </c>
      <c r="C1598" s="184">
        <f t="shared" ref="C1598:C1667" si="75">E1598</f>
        <v>42670</v>
      </c>
      <c r="D1598" s="184" t="s">
        <v>699</v>
      </c>
      <c r="E1598" s="191">
        <v>42670</v>
      </c>
      <c r="F1598" s="189" t="s">
        <v>702</v>
      </c>
      <c r="G1598" s="192" t="s">
        <v>332</v>
      </c>
      <c r="H1598" s="193"/>
      <c r="I1598" s="256"/>
      <c r="J1598" s="256"/>
      <c r="K1598" s="565">
        <v>13636</v>
      </c>
      <c r="L1598" s="566" t="s">
        <v>83</v>
      </c>
      <c r="M1598" s="566" t="s">
        <v>24</v>
      </c>
      <c r="N1598" s="52" t="str">
        <f>IF(AND('331-CT'!$E$7=TH!H1598,OR(L1598="331",M1598="331")),"331",IF(AND(OR(L1598="131",M1598="131"),H1598='131-CT'!$E$7),"131",""))</f>
        <v/>
      </c>
      <c r="O1598" s="857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>x</v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1">
        <v>4</v>
      </c>
      <c r="AC1598" s="557"/>
      <c r="AD1598" s="557"/>
    </row>
    <row r="1599" spans="1:30" s="211" customFormat="1" ht="15.75" customHeight="1">
      <c r="A1599" s="204" t="str">
        <f>IF(B1599&lt;&gt;"",IF(AND(B1599&gt;=_TM1,B1599&lt;=_TM2,OR(TH!L543="1111",TH!M543="1111")),TH!D543,""),"")</f>
        <v/>
      </c>
      <c r="B1599" s="36">
        <f t="shared" si="71"/>
        <v>10</v>
      </c>
      <c r="C1599" s="184">
        <f t="shared" si="75"/>
        <v>42670</v>
      </c>
      <c r="D1599" s="184" t="s">
        <v>699</v>
      </c>
      <c r="E1599" s="191">
        <v>42670</v>
      </c>
      <c r="F1599" s="189" t="s">
        <v>793</v>
      </c>
      <c r="G1599" s="192" t="s">
        <v>332</v>
      </c>
      <c r="H1599" s="7"/>
      <c r="I1599" s="256"/>
      <c r="J1599" s="256"/>
      <c r="K1599" s="565">
        <v>1364</v>
      </c>
      <c r="L1599" s="194" t="s">
        <v>9</v>
      </c>
      <c r="M1599" s="566" t="s">
        <v>24</v>
      </c>
      <c r="N1599" s="52" t="str">
        <f>IF(AND('331-CT'!$E$7=TH!H1599,OR(L1599="331",M1599="331")),"331",IF(AND(OR(L1599="131",M1599="131"),H1599='131-CT'!$E$7),"131",""))</f>
        <v/>
      </c>
      <c r="O1599" s="857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1">
        <v>4</v>
      </c>
      <c r="AC1599" s="557"/>
    </row>
    <row r="1600" spans="1:30" s="211" customFormat="1" ht="15.75" customHeight="1">
      <c r="A1600" s="204" t="str">
        <f>IF(B1600&lt;&gt;"",IF(AND(B1600&gt;=_TM1,B1600&lt;=_TM2,OR(TH!L1746="1111",TH!M1746="1111")),TH!D1746,""),"")</f>
        <v/>
      </c>
      <c r="B1600" s="36">
        <f t="shared" si="71"/>
        <v>10</v>
      </c>
      <c r="C1600" s="184">
        <f t="shared" si="75"/>
        <v>42670</v>
      </c>
      <c r="D1600" s="184" t="s">
        <v>1129</v>
      </c>
      <c r="E1600" s="191">
        <v>42670</v>
      </c>
      <c r="F1600" s="40" t="s">
        <v>1379</v>
      </c>
      <c r="G1600" s="456" t="s">
        <v>1378</v>
      </c>
      <c r="H1600" s="193" t="s">
        <v>1377</v>
      </c>
      <c r="I1600" s="257">
        <v>100</v>
      </c>
      <c r="J1600" s="257">
        <v>20000</v>
      </c>
      <c r="K1600" s="38">
        <f>ROUND(I1600*J1600,0)</f>
        <v>2000000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/>
      </c>
      <c r="O1600" s="857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1"/>
      <c r="AC1600" s="557" t="str">
        <f>IF(VLOOKUP(F1600,NXT!$C$35:$C$411,1,0)=F1600,"","x")</f>
        <v/>
      </c>
    </row>
    <row r="1601" spans="1:33" s="211" customFormat="1" ht="15.75" customHeight="1">
      <c r="A1601" s="204" t="str">
        <f>IF(B1601&lt;&gt;"",IF(AND(B1601&gt;=_TM1,B1601&lt;=_TM2,OR(TH!L1747="1111",TH!M1747="1111")),TH!D1747,""),"")</f>
        <v/>
      </c>
      <c r="B1601" s="36">
        <f t="shared" ref="B1601:B1670" si="76">IF(C1601&lt;&gt;"",MONTH(C1601),"")</f>
        <v>10</v>
      </c>
      <c r="C1601" s="184">
        <f t="shared" si="75"/>
        <v>42670</v>
      </c>
      <c r="D1601" s="184" t="s">
        <v>1129</v>
      </c>
      <c r="E1601" s="191">
        <v>42670</v>
      </c>
      <c r="F1601" s="40" t="s">
        <v>1285</v>
      </c>
      <c r="G1601" s="456" t="s">
        <v>1378</v>
      </c>
      <c r="H1601" s="193" t="s">
        <v>1377</v>
      </c>
      <c r="I1601" s="257"/>
      <c r="J1601" s="257"/>
      <c r="K1601" s="38">
        <v>200000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/>
      </c>
      <c r="O1601" s="857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1"/>
      <c r="AC1601" s="557"/>
      <c r="AD1601" s="557"/>
    </row>
    <row r="1602" spans="1:33" s="211" customFormat="1" ht="15.75" customHeight="1">
      <c r="A1602" s="204" t="str">
        <f>IF(B1602&lt;&gt;"",IF(AND(B1602&gt;=_TM1,B1602&lt;=_TM2,OR(TH!L1748="1111",TH!M1748="1111")),TH!D1748,""),"")</f>
        <v/>
      </c>
      <c r="B1602" s="36">
        <f t="shared" si="76"/>
        <v>10</v>
      </c>
      <c r="C1602" s="184">
        <f t="shared" si="75"/>
        <v>42670</v>
      </c>
      <c r="D1602" s="184" t="s">
        <v>1130</v>
      </c>
      <c r="E1602" s="191">
        <v>42670</v>
      </c>
      <c r="F1602" s="40" t="s">
        <v>710</v>
      </c>
      <c r="G1602" s="456" t="s">
        <v>1380</v>
      </c>
      <c r="H1602" s="749" t="s">
        <v>808</v>
      </c>
      <c r="I1602" s="257">
        <v>313</v>
      </c>
      <c r="J1602" s="257">
        <v>9300</v>
      </c>
      <c r="K1602" s="38">
        <f>ROUND(I1602*J1602,0)</f>
        <v>2910900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>131</v>
      </c>
      <c r="O1602" s="857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1"/>
      <c r="AC1602" s="557"/>
    </row>
    <row r="1603" spans="1:33" s="211" customFormat="1" ht="15.75" customHeight="1">
      <c r="A1603" s="204" t="str">
        <f>IF(B1603&lt;&gt;"",IF(AND(B1603&gt;=_TM1,B1603&lt;=_TM2,OR(TH!L1749="1111",TH!M1749="1111")),TH!D1749,""),"")</f>
        <v/>
      </c>
      <c r="B1603" s="36">
        <f t="shared" si="76"/>
        <v>10</v>
      </c>
      <c r="C1603" s="184">
        <f t="shared" si="75"/>
        <v>42670</v>
      </c>
      <c r="D1603" s="184" t="s">
        <v>1130</v>
      </c>
      <c r="E1603" s="191">
        <v>42670</v>
      </c>
      <c r="F1603" s="40" t="s">
        <v>1285</v>
      </c>
      <c r="G1603" s="456" t="s">
        <v>1380</v>
      </c>
      <c r="H1603" s="749" t="s">
        <v>808</v>
      </c>
      <c r="I1603" s="257"/>
      <c r="J1603" s="257"/>
      <c r="K1603" s="38">
        <v>291090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>131</v>
      </c>
      <c r="O1603" s="857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1"/>
      <c r="AC1603" s="557"/>
    </row>
    <row r="1604" spans="1:33" s="211" customFormat="1" ht="15.75" customHeight="1">
      <c r="A1604" s="204" t="str">
        <f>IF(B1604&lt;&gt;"",IF(AND(B1604&gt;=_TM1,B1604&lt;=_TM2,OR(TH!L1750="1111",TH!M1750="1111")),TH!D1750,""),"")</f>
        <v/>
      </c>
      <c r="B1604" s="36">
        <f t="shared" si="76"/>
        <v>10</v>
      </c>
      <c r="C1604" s="184">
        <f t="shared" si="75"/>
        <v>42670</v>
      </c>
      <c r="D1604" s="184" t="s">
        <v>1131</v>
      </c>
      <c r="E1604" s="191">
        <v>42670</v>
      </c>
      <c r="F1604" s="40" t="s">
        <v>1382</v>
      </c>
      <c r="G1604" s="456" t="s">
        <v>1381</v>
      </c>
      <c r="H1604" s="193" t="s">
        <v>1359</v>
      </c>
      <c r="I1604" s="257">
        <v>25</v>
      </c>
      <c r="J1604" s="257">
        <v>7750</v>
      </c>
      <c r="K1604" s="38">
        <f>ROUND(I1604*J1604,0)</f>
        <v>193750</v>
      </c>
      <c r="L1604" s="194" t="s">
        <v>259</v>
      </c>
      <c r="M1604" s="194" t="s">
        <v>174</v>
      </c>
      <c r="N1604" s="52" t="str">
        <f>IF(AND('331-CT'!$E$7=TH!H1604,OR(L1604="331",M1604="331")),"331",IF(AND(OR(L1604="131",M1604="131"),H1604='131-CT'!$E$7),"131",""))</f>
        <v/>
      </c>
      <c r="O1604" s="857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1"/>
      <c r="AC1604" s="557" t="str">
        <f>IF(VLOOKUP(F1604,NXT!$C$35:$C$411,1,0)=F1604,"","x")</f>
        <v/>
      </c>
      <c r="AD1604" s="557"/>
    </row>
    <row r="1605" spans="1:33" s="211" customFormat="1" ht="15.75" customHeight="1">
      <c r="A1605" s="204" t="str">
        <f>IF(B1605&lt;&gt;"",IF(AND(B1605&gt;=_TM1,B1605&lt;=_TM2,OR(TH!L1751="1111",TH!M1751="1111")),TH!D1751,""),"")</f>
        <v/>
      </c>
      <c r="B1605" s="36">
        <f t="shared" si="76"/>
        <v>10</v>
      </c>
      <c r="C1605" s="184">
        <f t="shared" si="75"/>
        <v>42670</v>
      </c>
      <c r="D1605" s="184" t="s">
        <v>1131</v>
      </c>
      <c r="E1605" s="191">
        <v>42670</v>
      </c>
      <c r="F1605" s="40" t="s">
        <v>1285</v>
      </c>
      <c r="G1605" s="456" t="s">
        <v>1381</v>
      </c>
      <c r="H1605" s="193" t="s">
        <v>1359</v>
      </c>
      <c r="I1605" s="257"/>
      <c r="J1605" s="257"/>
      <c r="K1605" s="38">
        <v>19375</v>
      </c>
      <c r="L1605" s="194" t="s">
        <v>259</v>
      </c>
      <c r="M1605" s="194" t="s">
        <v>370</v>
      </c>
      <c r="N1605" s="52" t="str">
        <f>IF(AND('331-CT'!$E$7=TH!H1605,OR(L1605="331",M1605="331")),"331",IF(AND(OR(L1605="131",M1605="131"),H1605='131-CT'!$E$7),"131",""))</f>
        <v/>
      </c>
      <c r="O1605" s="857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1"/>
      <c r="AC1605" s="557"/>
      <c r="AD1605" s="557"/>
    </row>
    <row r="1606" spans="1:33" s="211" customFormat="1" ht="15.75" customHeight="1">
      <c r="A1606" s="204" t="str">
        <f>IF(B1606&lt;&gt;"",IF(AND(B1606&gt;=_TM1,B1606&lt;=_TM2,OR(TH!L498="1111",TH!M498="1111")),TH!D498,""),"")</f>
        <v/>
      </c>
      <c r="B1606" s="36">
        <f t="shared" si="76"/>
        <v>10</v>
      </c>
      <c r="C1606" s="184">
        <f t="shared" si="75"/>
        <v>42671</v>
      </c>
      <c r="D1606" s="184" t="s">
        <v>695</v>
      </c>
      <c r="E1606" s="191">
        <v>42671</v>
      </c>
      <c r="F1606" s="192" t="s">
        <v>696</v>
      </c>
      <c r="G1606" s="192" t="s">
        <v>332</v>
      </c>
      <c r="H1606" s="7" t="s">
        <v>421</v>
      </c>
      <c r="I1606" s="256"/>
      <c r="J1606" s="256"/>
      <c r="K1606" s="565">
        <v>8426000</v>
      </c>
      <c r="L1606" s="194" t="s">
        <v>24</v>
      </c>
      <c r="M1606" s="194" t="s">
        <v>259</v>
      </c>
      <c r="N1606" s="52" t="str">
        <f>IF(AND('331-CT'!$E$7=TH!H1606,OR(L1606="331",M1606="331")),"331",IF(AND(OR(L1606="131",M1606="131"),H1606='131-CT'!$E$7),"131",""))</f>
        <v/>
      </c>
      <c r="O1606" s="857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2"/>
      <c r="AC1606" s="557"/>
    </row>
    <row r="1607" spans="1:33" s="211" customFormat="1" ht="15.75" customHeight="1">
      <c r="A1607" s="204" t="str">
        <f>IF(B1607&lt;&gt;"",IF(AND(B1607&gt;=_TM1,B1607&lt;=_TM2,OR(TH!L623="1111",TH!M623="1111")),TH!D623,""),"")</f>
        <v/>
      </c>
      <c r="B1607" s="36">
        <f t="shared" si="76"/>
        <v>10</v>
      </c>
      <c r="C1607" s="184">
        <f t="shared" si="75"/>
        <v>42671</v>
      </c>
      <c r="D1607" s="184" t="s">
        <v>699</v>
      </c>
      <c r="E1607" s="191">
        <v>42671</v>
      </c>
      <c r="F1607" s="192" t="s">
        <v>696</v>
      </c>
      <c r="G1607" s="192" t="s">
        <v>1318</v>
      </c>
      <c r="H1607" s="7"/>
      <c r="I1607" s="256"/>
      <c r="J1607" s="256"/>
      <c r="K1607" s="565">
        <v>7057303</v>
      </c>
      <c r="L1607" s="194" t="s">
        <v>24</v>
      </c>
      <c r="M1607" s="194" t="s">
        <v>259</v>
      </c>
      <c r="N1607" s="52" t="str">
        <f>IF(AND('331-CT'!$E$7=TH!H1607,OR(L1607="331",M1607="331")),"331",IF(AND(OR(L1607="131",M1607="131"),H1607='131-CT'!$E$7),"131",""))</f>
        <v/>
      </c>
      <c r="O1607" s="857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>x</v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2"/>
      <c r="AC1607" s="557"/>
    </row>
    <row r="1608" spans="1:33" s="211" customFormat="1" ht="15.75" customHeight="1">
      <c r="A1608" s="204" t="str">
        <f>IF(B1608&lt;&gt;"",IF(AND(B1608&gt;=_TM1,B1608&lt;=_TM2,OR(TH!L544="1111",TH!M544="1111")),TH!D544,""),"")</f>
        <v/>
      </c>
      <c r="B1608" s="36">
        <f t="shared" si="76"/>
        <v>10</v>
      </c>
      <c r="C1608" s="184">
        <f t="shared" si="75"/>
        <v>42674</v>
      </c>
      <c r="D1608" s="184" t="s">
        <v>699</v>
      </c>
      <c r="E1608" s="191">
        <v>42674</v>
      </c>
      <c r="F1608" s="192" t="s">
        <v>700</v>
      </c>
      <c r="G1608" s="192" t="s">
        <v>332</v>
      </c>
      <c r="H1608" s="193" t="s">
        <v>1313</v>
      </c>
      <c r="I1608" s="256"/>
      <c r="J1608" s="256"/>
      <c r="K1608" s="565">
        <v>3500000</v>
      </c>
      <c r="L1608" s="194" t="s">
        <v>47</v>
      </c>
      <c r="M1608" s="566" t="s">
        <v>24</v>
      </c>
      <c r="N1608" s="52" t="str">
        <f>IF(AND('331-CT'!$E$7=TH!H1608,OR(L1608="331",M1608="331")),"331",IF(AND(OR(L1608="131",M1608="131"),H1608='131-CT'!$E$7),"131",""))</f>
        <v/>
      </c>
      <c r="O1608" s="857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2"/>
      <c r="AC1608" s="557"/>
      <c r="AD1608" s="557"/>
    </row>
    <row r="1609" spans="1:33" s="211" customFormat="1" ht="15.75" customHeight="1">
      <c r="A1609" s="204" t="str">
        <f>IF(B1609&lt;&gt;"",IF(AND(B1609&gt;=_TM1,B1609&lt;=_TM2,OR(TH!L545="1111",TH!M545="1111")),TH!D545,""),"")</f>
        <v/>
      </c>
      <c r="B1609" s="36">
        <f t="shared" si="76"/>
        <v>10</v>
      </c>
      <c r="C1609" s="184">
        <f t="shared" si="75"/>
        <v>42674</v>
      </c>
      <c r="D1609" s="184" t="s">
        <v>699</v>
      </c>
      <c r="E1609" s="191">
        <v>42674</v>
      </c>
      <c r="F1609" s="192" t="s">
        <v>701</v>
      </c>
      <c r="G1609" s="192" t="s">
        <v>332</v>
      </c>
      <c r="H1609" s="7"/>
      <c r="I1609" s="256"/>
      <c r="J1609" s="256"/>
      <c r="K1609" s="565">
        <v>5000000</v>
      </c>
      <c r="L1609" s="194" t="s">
        <v>8</v>
      </c>
      <c r="M1609" s="566" t="s">
        <v>24</v>
      </c>
      <c r="N1609" s="52" t="str">
        <f>IF(AND('331-CT'!$E$7=TH!H1609,OR(L1609="331",M1609="331")),"331",IF(AND(OR(L1609="131",M1609="131"),H1609='131-CT'!$E$7),"131",""))</f>
        <v/>
      </c>
      <c r="O1609" s="857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2"/>
      <c r="AC1609" s="557"/>
    </row>
    <row r="1610" spans="1:33" s="211" customFormat="1" ht="15.75" customHeight="1">
      <c r="A1610" s="204" t="str">
        <f>IF(B1610&lt;&gt;"",IF(AND(B1610&gt;=_TM1,B1610&lt;=_TM2,OR(TH!L546="1111",TH!M546="1111")),TH!D546,""),"")</f>
        <v/>
      </c>
      <c r="B1610" s="36">
        <f t="shared" si="76"/>
        <v>10</v>
      </c>
      <c r="C1610" s="184">
        <f t="shared" si="75"/>
        <v>42674</v>
      </c>
      <c r="D1610" s="184" t="s">
        <v>699</v>
      </c>
      <c r="E1610" s="191">
        <v>42674</v>
      </c>
      <c r="F1610" s="189" t="s">
        <v>702</v>
      </c>
      <c r="G1610" s="192" t="s">
        <v>332</v>
      </c>
      <c r="H1610" s="193"/>
      <c r="I1610" s="256"/>
      <c r="J1610" s="256"/>
      <c r="K1610" s="565">
        <v>13636</v>
      </c>
      <c r="L1610" s="566" t="s">
        <v>83</v>
      </c>
      <c r="M1610" s="566" t="s">
        <v>24</v>
      </c>
      <c r="N1610" s="52" t="str">
        <f>IF(AND('331-CT'!$E$7=TH!H1610,OR(L1610="331",M1610="331")),"331",IF(AND(OR(L1610="131",M1610="131"),H1610='131-CT'!$E$7),"131",""))</f>
        <v/>
      </c>
      <c r="O1610" s="857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>x</v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1">
        <v>4</v>
      </c>
      <c r="AC1610" s="557"/>
      <c r="AD1610" s="557"/>
    </row>
    <row r="1611" spans="1:33" s="211" customFormat="1" ht="15.75" customHeight="1">
      <c r="A1611" s="204" t="str">
        <f>IF(B1611&lt;&gt;"",IF(AND(B1611&gt;=_TM1,B1611&lt;=_TM2,OR(TH!L547="1111",TH!M547="1111")),TH!D547,""),"")</f>
        <v>GBN</v>
      </c>
      <c r="B1611" s="36">
        <f t="shared" si="76"/>
        <v>10</v>
      </c>
      <c r="C1611" s="184">
        <f t="shared" si="75"/>
        <v>42674</v>
      </c>
      <c r="D1611" s="184" t="s">
        <v>699</v>
      </c>
      <c r="E1611" s="191">
        <v>42674</v>
      </c>
      <c r="F1611" s="189" t="s">
        <v>793</v>
      </c>
      <c r="G1611" s="192" t="s">
        <v>332</v>
      </c>
      <c r="H1611" s="7"/>
      <c r="I1611" s="256"/>
      <c r="J1611" s="256"/>
      <c r="K1611" s="565">
        <v>1364</v>
      </c>
      <c r="L1611" s="194" t="s">
        <v>9</v>
      </c>
      <c r="M1611" s="566" t="s">
        <v>24</v>
      </c>
      <c r="N1611" s="52" t="str">
        <f>IF(AND('331-CT'!$E$7=TH!H1611,OR(L1611="331",M1611="331")),"331",IF(AND(OR(L1611="131",M1611="131"),H1611='131-CT'!$E$7),"131",""))</f>
        <v/>
      </c>
      <c r="O1611" s="857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1">
        <v>4</v>
      </c>
      <c r="AC1611" s="557"/>
    </row>
    <row r="1612" spans="1:33" s="211" customFormat="1" ht="15.75" customHeight="1">
      <c r="A1612" s="204" t="str">
        <f>IF(B1612&lt;&gt;"",IF(AND(B1612&gt;=_TM1,B1612&lt;=_TM2,OR(TH!L624="1111",TH!M624="1111")),TH!D624,""),"")</f>
        <v/>
      </c>
      <c r="B1612" s="36">
        <f t="shared" si="76"/>
        <v>10</v>
      </c>
      <c r="C1612" s="184">
        <f t="shared" si="75"/>
        <v>42674</v>
      </c>
      <c r="D1612" s="184" t="s">
        <v>699</v>
      </c>
      <c r="E1612" s="191">
        <v>42674</v>
      </c>
      <c r="F1612" s="189" t="s">
        <v>807</v>
      </c>
      <c r="G1612" s="192" t="s">
        <v>1318</v>
      </c>
      <c r="H1612" s="193" t="s">
        <v>1313</v>
      </c>
      <c r="I1612" s="256"/>
      <c r="J1612" s="256"/>
      <c r="K1612" s="565">
        <v>7000000</v>
      </c>
      <c r="L1612" s="566" t="s">
        <v>47</v>
      </c>
      <c r="M1612" s="566" t="s">
        <v>24</v>
      </c>
      <c r="N1612" s="52" t="str">
        <f>IF(AND('331-CT'!$E$7=TH!H1612,OR(L1612="331",M1612="331")),"331",IF(AND(OR(L1612="131",M1612="131"),H1612='131-CT'!$E$7),"131",""))</f>
        <v/>
      </c>
      <c r="O1612" s="857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2"/>
      <c r="AC1612" s="557"/>
      <c r="AD1612" s="557"/>
    </row>
    <row r="1613" spans="1:33" s="211" customFormat="1" ht="15.75" customHeight="1">
      <c r="A1613" s="204" t="str">
        <f>IF(B1613&lt;&gt;"",IF(AND(B1613&gt;=_TM1,B1613&lt;=_TM2,OR(TH!L625="1111",TH!M625="1111")),TH!D625,""),"")</f>
        <v/>
      </c>
      <c r="B1613" s="36">
        <f t="shared" si="76"/>
        <v>10</v>
      </c>
      <c r="C1613" s="184">
        <f t="shared" si="75"/>
        <v>42674</v>
      </c>
      <c r="D1613" s="184" t="s">
        <v>699</v>
      </c>
      <c r="E1613" s="191">
        <v>42674</v>
      </c>
      <c r="F1613" s="189" t="s">
        <v>697</v>
      </c>
      <c r="G1613" s="192" t="s">
        <v>1318</v>
      </c>
      <c r="H1613" s="193"/>
      <c r="I1613" s="256"/>
      <c r="J1613" s="256"/>
      <c r="K1613" s="565">
        <v>3500</v>
      </c>
      <c r="L1613" s="566" t="s">
        <v>24</v>
      </c>
      <c r="M1613" s="566" t="s">
        <v>40</v>
      </c>
      <c r="N1613" s="52" t="str">
        <f>IF(AND('331-CT'!$E$7=TH!H1613,OR(L1613="331",M1613="331")),"331",IF(AND(OR(L1613="131",M1613="131"),H1613='131-CT'!$E$7),"131",""))</f>
        <v/>
      </c>
      <c r="O1613" s="857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>x</v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2"/>
      <c r="AC1613" s="557"/>
      <c r="AD1613" s="557"/>
    </row>
    <row r="1614" spans="1:33" s="211" customFormat="1" ht="15.75" customHeight="1">
      <c r="A1614" s="204" t="str">
        <f>IF(B1614&lt;&gt;"",IF(AND(B1614&gt;=_TM1,B1614&lt;=_TM2,OR(TH!L1760="1111",TH!M1760="1111")),TH!D1760,""),"")</f>
        <v/>
      </c>
      <c r="B1614" s="36">
        <f t="shared" si="76"/>
        <v>10</v>
      </c>
      <c r="C1614" s="184">
        <f t="shared" si="75"/>
        <v>42674</v>
      </c>
      <c r="D1614" s="191"/>
      <c r="E1614" s="191">
        <v>42674</v>
      </c>
      <c r="F1614" s="189" t="s">
        <v>1584</v>
      </c>
      <c r="G1614" s="456" t="s">
        <v>1583</v>
      </c>
      <c r="H1614" s="750" t="s">
        <v>1387</v>
      </c>
      <c r="I1614" s="256">
        <v>7</v>
      </c>
      <c r="J1614" s="256">
        <v>50400</v>
      </c>
      <c r="K1614" s="38">
        <f>ROUND(I1614*J1614,0)</f>
        <v>352800</v>
      </c>
      <c r="L1614" s="194" t="s">
        <v>161</v>
      </c>
      <c r="M1614" s="194" t="s">
        <v>8</v>
      </c>
      <c r="N1614" s="52" t="str">
        <f>IF(AND('331-CT'!$E$7=TH!H1614,OR(L1614="331",M1614="331")),"331",IF(AND(OR(L1614="131",M1614="131"),H1614='131-CT'!$E$7),"131",""))</f>
        <v/>
      </c>
      <c r="O1614" s="857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790">
        <v>4</v>
      </c>
      <c r="AC1614" s="557"/>
      <c r="AD1614" s="211" t="str">
        <f>IF(VLOOKUP(H1614,DSKH,1,0)=H1614,"","x")</f>
        <v/>
      </c>
      <c r="AF1614" s="557"/>
      <c r="AG1614" s="557"/>
    </row>
    <row r="1615" spans="1:33" s="211" customFormat="1" ht="15.75" customHeight="1">
      <c r="A1615" s="204" t="str">
        <f>IF(B1615&lt;&gt;"",IF(AND(B1615&gt;=_TM1,B1615&lt;=_TM2,OR(TH!L1761="1111",TH!M1761="1111")),TH!D1761,""),"")</f>
        <v/>
      </c>
      <c r="B1615" s="36">
        <f t="shared" si="76"/>
        <v>10</v>
      </c>
      <c r="C1615" s="184">
        <f t="shared" si="75"/>
        <v>42674</v>
      </c>
      <c r="D1615" s="191"/>
      <c r="E1615" s="191">
        <v>42674</v>
      </c>
      <c r="F1615" s="189" t="s">
        <v>1585</v>
      </c>
      <c r="G1615" s="456" t="s">
        <v>1583</v>
      </c>
      <c r="H1615" s="750" t="s">
        <v>1387</v>
      </c>
      <c r="I1615" s="256"/>
      <c r="J1615" s="256"/>
      <c r="K1615" s="565">
        <v>35280</v>
      </c>
      <c r="L1615" s="194" t="s">
        <v>9</v>
      </c>
      <c r="M1615" s="194" t="s">
        <v>8</v>
      </c>
      <c r="N1615" s="52" t="str">
        <f>IF(AND('331-CT'!$E$7=TH!H1615,OR(L1615="331",M1615="331")),"331",IF(AND(OR(L1615="131",M1615="131"),H1615='131-CT'!$E$7),"131",""))</f>
        <v/>
      </c>
      <c r="O1615" s="857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0">
        <v>4</v>
      </c>
      <c r="AC1615" s="557"/>
      <c r="AD1615" s="211" t="str">
        <f>IF(VLOOKUP(H1615,DSKH,1,0)=H1615,"","x")</f>
        <v/>
      </c>
      <c r="AF1615" s="557"/>
      <c r="AG1615" s="557"/>
    </row>
    <row r="1616" spans="1:33" s="211" customFormat="1" ht="15.75" customHeight="1">
      <c r="A1616" s="204" t="str">
        <f>IF(B1616&lt;&gt;"",IF(AND(B1616&gt;=_TM1,B1616&lt;=_TM2,OR(TH!L1762="1111",TH!M1762="1111")),TH!D1762,""),"")</f>
        <v/>
      </c>
      <c r="B1616" s="36">
        <f t="shared" ref="B1616:B1619" si="77">IF(C1616&lt;&gt;"",MONTH(C1616),"")</f>
        <v>10</v>
      </c>
      <c r="C1616" s="184">
        <f t="shared" ref="C1616:C1619" si="78">E1616</f>
        <v>42674</v>
      </c>
      <c r="D1616" s="191"/>
      <c r="E1616" s="191">
        <v>42674</v>
      </c>
      <c r="F1616" s="189" t="s">
        <v>701</v>
      </c>
      <c r="G1616" s="456" t="s">
        <v>1583</v>
      </c>
      <c r="H1616" s="750" t="s">
        <v>1387</v>
      </c>
      <c r="I1616" s="256"/>
      <c r="J1616" s="256"/>
      <c r="K1616" s="565">
        <v>388080</v>
      </c>
      <c r="L1616" s="194" t="s">
        <v>8</v>
      </c>
      <c r="M1616" s="194" t="s">
        <v>47</v>
      </c>
      <c r="N1616" s="52" t="str">
        <f>IF(AND('331-CT'!$E$7=TH!H1616,OR(L1616="331",M1616="331")),"331",IF(AND(OR(L1616="131",M1616="131"),H1616='131-CT'!$E$7),"131",""))</f>
        <v/>
      </c>
      <c r="O1616" s="857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0"/>
      <c r="AC1616" s="557"/>
      <c r="AF1616" s="557"/>
      <c r="AG1616" s="557"/>
    </row>
    <row r="1617" spans="1:33" s="211" customFormat="1" ht="15.75" customHeight="1">
      <c r="A1617" s="204" t="str">
        <f>IF(B1617&lt;&gt;"",IF(AND(B1617&gt;=_TM1,B1617&lt;=_TM2,OR(TH!L1763="1111",TH!M1763="1111")),TH!D1763,""),"")</f>
        <v/>
      </c>
      <c r="B1617" s="36">
        <f t="shared" si="77"/>
        <v>10</v>
      </c>
      <c r="C1617" s="184">
        <f t="shared" si="78"/>
        <v>42674</v>
      </c>
      <c r="D1617" s="191"/>
      <c r="E1617" s="191">
        <v>42674</v>
      </c>
      <c r="F1617" s="189" t="s">
        <v>1590</v>
      </c>
      <c r="G1617" s="456" t="s">
        <v>1588</v>
      </c>
      <c r="H1617" s="750" t="s">
        <v>1587</v>
      </c>
      <c r="I1617" s="256"/>
      <c r="J1617" s="256"/>
      <c r="K1617" s="38">
        <v>933000</v>
      </c>
      <c r="L1617" s="194" t="s">
        <v>83</v>
      </c>
      <c r="M1617" s="194" t="s">
        <v>47</v>
      </c>
      <c r="N1617" s="52" t="str">
        <f>IF(AND('331-CT'!$E$7=TH!H1617,OR(L1617="331",M1617="331")),"331",IF(AND(OR(L1617="131",M1617="131"),H1617='131-CT'!$E$7),"131",""))</f>
        <v/>
      </c>
      <c r="O1617" s="857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>x</v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0">
        <v>4</v>
      </c>
      <c r="AC1617" s="557"/>
      <c r="AF1617" s="557"/>
      <c r="AG1617" s="557"/>
    </row>
    <row r="1618" spans="1:33" s="211" customFormat="1" ht="15.75" customHeight="1">
      <c r="A1618" s="204" t="str">
        <f>IF(B1618&lt;&gt;"",IF(AND(B1618&gt;=_TM1,B1618&lt;=_TM2,OR(TH!L1764="1111",TH!M1764="1111")),TH!D1764,""),"")</f>
        <v/>
      </c>
      <c r="B1618" s="36">
        <f t="shared" ref="B1618" si="79">IF(C1618&lt;&gt;"",MONTH(C1618),"")</f>
        <v>10</v>
      </c>
      <c r="C1618" s="184">
        <f t="shared" ref="C1618" si="80">E1618</f>
        <v>42674</v>
      </c>
      <c r="D1618" s="191"/>
      <c r="E1618" s="191">
        <v>42674</v>
      </c>
      <c r="F1618" s="189" t="s">
        <v>1591</v>
      </c>
      <c r="G1618" s="456" t="s">
        <v>1588</v>
      </c>
      <c r="H1618" s="750" t="s">
        <v>1587</v>
      </c>
      <c r="I1618" s="256"/>
      <c r="J1618" s="256"/>
      <c r="K1618" s="38">
        <v>50000</v>
      </c>
      <c r="L1618" s="194" t="s">
        <v>83</v>
      </c>
      <c r="M1618" s="194" t="s">
        <v>47</v>
      </c>
      <c r="N1618" s="52" t="str">
        <f>IF(AND('331-CT'!$E$7=TH!H1618,OR(L1618="331",M1618="331")),"331",IF(AND(OR(L1618="131",M1618="131"),H1618='131-CT'!$E$7),"131",""))</f>
        <v/>
      </c>
      <c r="O1618" s="857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>x</v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0">
        <v>4</v>
      </c>
      <c r="AC1618" s="557"/>
      <c r="AF1618" s="557"/>
      <c r="AG1618" s="557"/>
    </row>
    <row r="1619" spans="1:33" s="211" customFormat="1" ht="15.75" customHeight="1">
      <c r="A1619" s="204" t="str">
        <f>IF(B1619&lt;&gt;"",IF(AND(B1619&gt;=_TM1,B1619&lt;=_TM2,OR(TH!L1764="1111",TH!M1764="1111")),TH!D1764,""),"")</f>
        <v/>
      </c>
      <c r="B1619" s="36">
        <f t="shared" si="77"/>
        <v>10</v>
      </c>
      <c r="C1619" s="184">
        <f t="shared" si="78"/>
        <v>42674</v>
      </c>
      <c r="D1619" s="191"/>
      <c r="E1619" s="191">
        <v>42674</v>
      </c>
      <c r="F1619" s="189" t="s">
        <v>1589</v>
      </c>
      <c r="G1619" s="456" t="s">
        <v>1588</v>
      </c>
      <c r="H1619" s="750" t="s">
        <v>1587</v>
      </c>
      <c r="I1619" s="256"/>
      <c r="J1619" s="256"/>
      <c r="K1619" s="565">
        <v>93300</v>
      </c>
      <c r="L1619" s="194" t="s">
        <v>9</v>
      </c>
      <c r="M1619" s="194" t="s">
        <v>47</v>
      </c>
      <c r="N1619" s="52" t="str">
        <f>IF(AND('331-CT'!$E$7=TH!H1619,OR(L1619="331",M1619="331")),"331",IF(AND(OR(L1619="131",M1619="131"),H1619='131-CT'!$E$7),"131",""))</f>
        <v/>
      </c>
      <c r="O1619" s="857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790">
        <v>4</v>
      </c>
      <c r="AC1619" s="557"/>
      <c r="AF1619" s="557"/>
      <c r="AG1619" s="557"/>
    </row>
    <row r="1620" spans="1:33" s="211" customFormat="1" ht="15.75" customHeight="1">
      <c r="A1620" s="204" t="str">
        <f>IF(B1620&lt;&gt;"",IF(AND(B1620&gt;=_TM1,B1620&lt;=_TM2,OR(TH!L626="1111",TH!M626="1111")),TH!D626,""),"")</f>
        <v/>
      </c>
      <c r="B1620" s="36">
        <f t="shared" si="76"/>
        <v>11</v>
      </c>
      <c r="C1620" s="184">
        <f t="shared" si="75"/>
        <v>42676</v>
      </c>
      <c r="D1620" s="184" t="s">
        <v>699</v>
      </c>
      <c r="E1620" s="191">
        <v>42676</v>
      </c>
      <c r="F1620" s="192" t="s">
        <v>696</v>
      </c>
      <c r="G1620" s="192" t="s">
        <v>1318</v>
      </c>
      <c r="H1620" s="193" t="s">
        <v>1350</v>
      </c>
      <c r="I1620" s="256"/>
      <c r="J1620" s="256"/>
      <c r="K1620" s="565">
        <v>8386724</v>
      </c>
      <c r="L1620" s="566" t="s">
        <v>24</v>
      </c>
      <c r="M1620" s="566" t="s">
        <v>259</v>
      </c>
      <c r="N1620" s="52" t="str">
        <f>IF(AND('331-CT'!$E$7=TH!H1620,OR(L1620="331",M1620="331")),"331",IF(AND(OR(L1620="131",M1620="131"),H1620='131-CT'!$E$7),"131",""))</f>
        <v/>
      </c>
      <c r="O1620" s="857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>x</v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2"/>
      <c r="AC1620" s="557"/>
    </row>
    <row r="1621" spans="1:33" s="211" customFormat="1" ht="15.75" customHeight="1">
      <c r="A1621" s="204" t="str">
        <f>IF(B1621&lt;&gt;"",IF(AND(B1621&gt;=_TM1,B1621&lt;=_TM2,OR(TH!L1752="1111",TH!M1752="1111")),TH!D1752,""),"")</f>
        <v/>
      </c>
      <c r="B1621" s="36">
        <f t="shared" si="76"/>
        <v>11</v>
      </c>
      <c r="C1621" s="184">
        <f t="shared" si="75"/>
        <v>42676</v>
      </c>
      <c r="D1621" s="184" t="s">
        <v>1132</v>
      </c>
      <c r="E1621" s="191">
        <v>42676</v>
      </c>
      <c r="F1621" s="189" t="s">
        <v>1472</v>
      </c>
      <c r="G1621" s="456" t="s">
        <v>1383</v>
      </c>
      <c r="H1621" s="7" t="s">
        <v>645</v>
      </c>
      <c r="I1621" s="257">
        <v>1800</v>
      </c>
      <c r="J1621" s="257">
        <v>3970</v>
      </c>
      <c r="K1621" s="38">
        <f t="shared" ref="K1621:K1628" si="81">ROUND(I1621*J1621,0)</f>
        <v>7146000</v>
      </c>
      <c r="L1621" s="194" t="s">
        <v>259</v>
      </c>
      <c r="M1621" s="194" t="s">
        <v>174</v>
      </c>
      <c r="N1621" s="52" t="str">
        <f>IF(AND('331-CT'!$E$7=TH!H1621,OR(L1621="331",M1621="331")),"331",IF(AND(OR(L1621="131",M1621="131"),H1621='131-CT'!$E$7),"131",""))</f>
        <v/>
      </c>
      <c r="O1621" s="857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1"/>
      <c r="AC1621" s="557" t="str">
        <f>IF(VLOOKUP(F1621,NXT!$C$35:$C$411,1,0)=F1621,"","x")</f>
        <v/>
      </c>
    </row>
    <row r="1622" spans="1:33" s="211" customFormat="1" ht="15.75" customHeight="1">
      <c r="A1622" s="204" t="str">
        <f>IF(B1622&lt;&gt;"",IF(AND(B1622&gt;=_TM1,B1622&lt;=_TM2,OR(TH!L1753="1111",TH!M1753="1111")),TH!D1753,""),"")</f>
        <v/>
      </c>
      <c r="B1622" s="36">
        <f t="shared" si="76"/>
        <v>11</v>
      </c>
      <c r="C1622" s="184">
        <f t="shared" si="75"/>
        <v>42676</v>
      </c>
      <c r="D1622" s="184" t="s">
        <v>1132</v>
      </c>
      <c r="E1622" s="191">
        <v>42676</v>
      </c>
      <c r="F1622" s="189" t="s">
        <v>1338</v>
      </c>
      <c r="G1622" s="456" t="s">
        <v>1383</v>
      </c>
      <c r="H1622" s="7" t="s">
        <v>645</v>
      </c>
      <c r="I1622" s="257">
        <v>30</v>
      </c>
      <c r="J1622" s="257">
        <v>12400</v>
      </c>
      <c r="K1622" s="38">
        <f t="shared" si="81"/>
        <v>372000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57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1"/>
      <c r="AC1622" s="557" t="str">
        <f>IF(VLOOKUP(F1622,NXT!$C$35:$C$411,1,0)=F1622,"","x")</f>
        <v/>
      </c>
      <c r="AD1622" s="557"/>
    </row>
    <row r="1623" spans="1:33" s="211" customFormat="1" ht="15.75" customHeight="1">
      <c r="A1623" s="204" t="str">
        <f>IF(B1623&lt;&gt;"",IF(AND(B1623&gt;=_TM1,B1623&lt;=_TM2,OR(TH!L1754="1111",TH!M1754="1111")),TH!D1754,""),"")</f>
        <v/>
      </c>
      <c r="B1623" s="36">
        <f t="shared" si="76"/>
        <v>11</v>
      </c>
      <c r="C1623" s="184">
        <f t="shared" si="75"/>
        <v>42676</v>
      </c>
      <c r="D1623" s="184" t="s">
        <v>1132</v>
      </c>
      <c r="E1623" s="191">
        <v>42676</v>
      </c>
      <c r="F1623" s="189" t="s">
        <v>1338</v>
      </c>
      <c r="G1623" s="456" t="s">
        <v>1383</v>
      </c>
      <c r="H1623" s="7" t="s">
        <v>645</v>
      </c>
      <c r="I1623" s="257">
        <v>30</v>
      </c>
      <c r="J1623" s="257">
        <v>14200</v>
      </c>
      <c r="K1623" s="38">
        <f t="shared" si="81"/>
        <v>426000</v>
      </c>
      <c r="L1623" s="194" t="s">
        <v>259</v>
      </c>
      <c r="M1623" s="194" t="s">
        <v>174</v>
      </c>
      <c r="N1623" s="52" t="str">
        <f>IF(AND('331-CT'!$E$7=TH!H1623,OR(L1623="331",M1623="331")),"331",IF(AND(OR(L1623="131",M1623="131"),H1623='131-CT'!$E$7),"131",""))</f>
        <v/>
      </c>
      <c r="O1623" s="857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1"/>
      <c r="AC1623" s="557" t="str">
        <f>IF(VLOOKUP(F1623,NXT!$C$35:$C$411,1,0)=F1623,"","x")</f>
        <v/>
      </c>
      <c r="AD1623" s="557"/>
    </row>
    <row r="1624" spans="1:33" s="211" customFormat="1" ht="15.75" customHeight="1">
      <c r="A1624" s="204" t="str">
        <f>IF(B1624&lt;&gt;"",IF(AND(B1624&gt;=_TM1,B1624&lt;=_TM2,OR(TH!L1755="1111",TH!M1755="1111")),TH!D1755,""),"")</f>
        <v/>
      </c>
      <c r="B1624" s="36">
        <f t="shared" si="76"/>
        <v>11</v>
      </c>
      <c r="C1624" s="184">
        <f t="shared" si="75"/>
        <v>42676</v>
      </c>
      <c r="D1624" s="184" t="s">
        <v>1132</v>
      </c>
      <c r="E1624" s="191">
        <v>42676</v>
      </c>
      <c r="F1624" s="189" t="s">
        <v>1341</v>
      </c>
      <c r="G1624" s="456" t="s">
        <v>1383</v>
      </c>
      <c r="H1624" s="7" t="s">
        <v>645</v>
      </c>
      <c r="I1624" s="257">
        <v>30</v>
      </c>
      <c r="J1624" s="257">
        <v>15300</v>
      </c>
      <c r="K1624" s="38">
        <f t="shared" si="81"/>
        <v>459000</v>
      </c>
      <c r="L1624" s="194" t="s">
        <v>259</v>
      </c>
      <c r="M1624" s="194" t="s">
        <v>174</v>
      </c>
      <c r="N1624" s="52" t="str">
        <f>IF(AND('331-CT'!$E$7=TH!H1624,OR(L1624="331",M1624="331")),"331",IF(AND(OR(L1624="131",M1624="131"),H1624='131-CT'!$E$7),"131",""))</f>
        <v/>
      </c>
      <c r="O1624" s="857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1"/>
      <c r="AC1624" s="557" t="str">
        <f>IF(VLOOKUP(F1624,NXT!$C$35:$C$411,1,0)=F1624,"","x")</f>
        <v/>
      </c>
      <c r="AD1624" s="557"/>
    </row>
    <row r="1625" spans="1:33" s="211" customFormat="1" ht="15.75" customHeight="1">
      <c r="A1625" s="204" t="str">
        <f>IF(B1625&lt;&gt;"",IF(AND(B1625&gt;=_TM1,B1625&lt;=_TM2,OR(TH!L1756="1111",TH!M1756="1111")),TH!D1756,""),"")</f>
        <v/>
      </c>
      <c r="B1625" s="36">
        <f t="shared" si="76"/>
        <v>11</v>
      </c>
      <c r="C1625" s="184">
        <f t="shared" si="75"/>
        <v>42676</v>
      </c>
      <c r="D1625" s="184" t="s">
        <v>1132</v>
      </c>
      <c r="E1625" s="191">
        <v>42676</v>
      </c>
      <c r="F1625" s="189" t="s">
        <v>1339</v>
      </c>
      <c r="G1625" s="456" t="s">
        <v>1383</v>
      </c>
      <c r="H1625" s="7" t="s">
        <v>645</v>
      </c>
      <c r="I1625" s="257">
        <v>30</v>
      </c>
      <c r="J1625" s="257">
        <v>16500</v>
      </c>
      <c r="K1625" s="38">
        <f t="shared" si="81"/>
        <v>495000</v>
      </c>
      <c r="L1625" s="194" t="s">
        <v>259</v>
      </c>
      <c r="M1625" s="194" t="s">
        <v>174</v>
      </c>
      <c r="N1625" s="52" t="str">
        <f>IF(AND('331-CT'!$E$7=TH!H1625,OR(L1625="331",M1625="331")),"331",IF(AND(OR(L1625="131",M1625="131"),H1625='131-CT'!$E$7),"131",""))</f>
        <v/>
      </c>
      <c r="O1625" s="857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1"/>
      <c r="AC1625" s="557" t="str">
        <f>IF(VLOOKUP(F1625,NXT!$C$35:$C$411,1,0)=F1625,"","x")</f>
        <v/>
      </c>
    </row>
    <row r="1626" spans="1:33" s="211" customFormat="1" ht="15.75" customHeight="1">
      <c r="A1626" s="204" t="str">
        <f>IF(B1626&lt;&gt;"",IF(AND(B1626&gt;=_TM1,B1626&lt;=_TM2,OR(TH!L1757="1111",TH!M1757="1111")),TH!D1757,""),"")</f>
        <v/>
      </c>
      <c r="B1626" s="36">
        <f t="shared" si="76"/>
        <v>11</v>
      </c>
      <c r="C1626" s="184">
        <f t="shared" si="75"/>
        <v>42676</v>
      </c>
      <c r="D1626" s="184" t="s">
        <v>1132</v>
      </c>
      <c r="E1626" s="191">
        <v>42676</v>
      </c>
      <c r="F1626" s="189" t="s">
        <v>1340</v>
      </c>
      <c r="G1626" s="456" t="s">
        <v>1383</v>
      </c>
      <c r="H1626" s="7" t="s">
        <v>645</v>
      </c>
      <c r="I1626" s="257">
        <v>100</v>
      </c>
      <c r="J1626" s="257">
        <v>19700</v>
      </c>
      <c r="K1626" s="38">
        <f t="shared" si="81"/>
        <v>1970000</v>
      </c>
      <c r="L1626" s="194" t="s">
        <v>259</v>
      </c>
      <c r="M1626" s="194" t="s">
        <v>174</v>
      </c>
      <c r="N1626" s="52" t="str">
        <f>IF(AND('331-CT'!$E$7=TH!H1626,OR(L1626="331",M1626="331")),"331",IF(AND(OR(L1626="131",M1626="131"),H1626='131-CT'!$E$7),"131",""))</f>
        <v/>
      </c>
      <c r="O1626" s="857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1"/>
      <c r="AC1626" s="557" t="str">
        <f>IF(VLOOKUP(F1626,NXT!$C$35:$C$411,1,0)=F1626,"","x")</f>
        <v/>
      </c>
      <c r="AD1626" s="557"/>
    </row>
    <row r="1627" spans="1:33" s="211" customFormat="1" ht="15.75" customHeight="1">
      <c r="A1627" s="204" t="str">
        <f>IF(B1627&lt;&gt;"",IF(AND(B1627&gt;=_TM1,B1627&lt;=_TM2,OR(TH!L1758="1111",TH!M1758="1111")),TH!D1758,""),"")</f>
        <v/>
      </c>
      <c r="B1627" s="36">
        <f t="shared" si="76"/>
        <v>11</v>
      </c>
      <c r="C1627" s="184">
        <f t="shared" si="75"/>
        <v>42676</v>
      </c>
      <c r="D1627" s="184" t="s">
        <v>1132</v>
      </c>
      <c r="E1627" s="191">
        <v>42676</v>
      </c>
      <c r="F1627" s="189" t="s">
        <v>1467</v>
      </c>
      <c r="G1627" s="456" t="s">
        <v>1383</v>
      </c>
      <c r="H1627" s="7" t="s">
        <v>645</v>
      </c>
      <c r="I1627" s="257">
        <v>30</v>
      </c>
      <c r="J1627" s="257">
        <v>20100</v>
      </c>
      <c r="K1627" s="38">
        <f t="shared" si="81"/>
        <v>603000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57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1"/>
      <c r="AC1627" s="557" t="str">
        <f>IF(VLOOKUP(F1627,NXT!$C$35:$C$411,1,0)=F1627,"","x")</f>
        <v/>
      </c>
      <c r="AD1627" s="557"/>
    </row>
    <row r="1628" spans="1:33" s="211" customFormat="1" ht="15.75" customHeight="1">
      <c r="A1628" s="204" t="str">
        <f>IF(B1628&lt;&gt;"",IF(AND(B1628&gt;=_TM1,B1628&lt;=_TM2,OR(TH!L1759="1111",TH!M1759="1111")),TH!D1759,""),"")</f>
        <v/>
      </c>
      <c r="B1628" s="36">
        <f t="shared" si="76"/>
        <v>11</v>
      </c>
      <c r="C1628" s="184">
        <f t="shared" si="75"/>
        <v>42676</v>
      </c>
      <c r="D1628" s="184" t="s">
        <v>1132</v>
      </c>
      <c r="E1628" s="191">
        <v>42676</v>
      </c>
      <c r="F1628" s="192" t="s">
        <v>1477</v>
      </c>
      <c r="G1628" s="456" t="s">
        <v>1383</v>
      </c>
      <c r="H1628" s="7" t="s">
        <v>645</v>
      </c>
      <c r="I1628" s="257">
        <v>70</v>
      </c>
      <c r="J1628" s="257">
        <v>18300</v>
      </c>
      <c r="K1628" s="38">
        <f t="shared" si="81"/>
        <v>1281000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57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1"/>
      <c r="AC1628" s="557" t="str">
        <f>IF(VLOOKUP(F1628,NXT!$C$35:$C$411,1,0)=F1628,"","x")</f>
        <v/>
      </c>
      <c r="AD1628" s="557"/>
    </row>
    <row r="1629" spans="1:33" s="211" customFormat="1" ht="15.75" customHeight="1">
      <c r="A1629" s="204" t="str">
        <f>IF(B1629&lt;&gt;"",IF(AND(B1629&gt;=_TM1,B1629&lt;=_TM2,OR(TH!L1760="1111",TH!M1760="1111")),TH!D1760,""),"")</f>
        <v/>
      </c>
      <c r="B1629" s="36">
        <f t="shared" si="76"/>
        <v>11</v>
      </c>
      <c r="C1629" s="184">
        <f t="shared" si="75"/>
        <v>42676</v>
      </c>
      <c r="D1629" s="184" t="s">
        <v>1132</v>
      </c>
      <c r="E1629" s="191">
        <v>42676</v>
      </c>
      <c r="F1629" s="40" t="s">
        <v>1285</v>
      </c>
      <c r="G1629" s="456" t="s">
        <v>1383</v>
      </c>
      <c r="H1629" s="7" t="s">
        <v>645</v>
      </c>
      <c r="I1629" s="257"/>
      <c r="J1629" s="257"/>
      <c r="K1629" s="38">
        <v>1275200</v>
      </c>
      <c r="L1629" s="194" t="s">
        <v>259</v>
      </c>
      <c r="M1629" s="194" t="s">
        <v>370</v>
      </c>
      <c r="N1629" s="52" t="str">
        <f>IF(AND('331-CT'!$E$7=TH!H1629,OR(L1629="331",M1629="331")),"331",IF(AND(OR(L1629="131",M1629="131"),H1629='131-CT'!$E$7),"131",""))</f>
        <v/>
      </c>
      <c r="O1629" s="857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1"/>
      <c r="AC1629" s="557"/>
      <c r="AD1629" s="557"/>
    </row>
    <row r="1630" spans="1:33" s="211" customFormat="1" ht="15.75" customHeight="1">
      <c r="A1630" s="204" t="str">
        <f>IF(B1630&lt;&gt;"",IF(AND(B1630&gt;=_TM1,B1630&lt;=_TM2,OR(TH!L1761="1111",TH!M1761="1111")),TH!D1761,""),"")</f>
        <v/>
      </c>
      <c r="B1630" s="36">
        <f t="shared" si="76"/>
        <v>11</v>
      </c>
      <c r="C1630" s="184">
        <f t="shared" si="75"/>
        <v>42677</v>
      </c>
      <c r="D1630" s="184" t="s">
        <v>1133</v>
      </c>
      <c r="E1630" s="191">
        <v>42677</v>
      </c>
      <c r="F1630" s="40" t="s">
        <v>1346</v>
      </c>
      <c r="G1630" s="456" t="s">
        <v>1384</v>
      </c>
      <c r="H1630" s="7" t="s">
        <v>811</v>
      </c>
      <c r="I1630" s="257">
        <v>974</v>
      </c>
      <c r="J1630" s="257">
        <v>6700</v>
      </c>
      <c r="K1630" s="38">
        <f>ROUND(I1630*J1630,0)</f>
        <v>6525800</v>
      </c>
      <c r="L1630" s="194" t="s">
        <v>259</v>
      </c>
      <c r="M1630" s="194" t="s">
        <v>174</v>
      </c>
      <c r="N1630" s="52" t="str">
        <f>IF(AND('331-CT'!$E$7=TH!H1630,OR(L1630="331",M1630="331")),"331",IF(AND(OR(L1630="131",M1630="131"),H1630='131-CT'!$E$7),"131",""))</f>
        <v/>
      </c>
      <c r="O1630" s="857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1"/>
      <c r="AC1630" s="557" t="str">
        <f>IF(VLOOKUP(F1630,NXT!$C$35:$C$411,1,0)=F1630,"","x")</f>
        <v/>
      </c>
      <c r="AD1630" s="557"/>
    </row>
    <row r="1631" spans="1:33" s="211" customFormat="1" ht="15.75" customHeight="1">
      <c r="A1631" s="204" t="str">
        <f>IF(B1631&lt;&gt;"",IF(AND(B1631&gt;=_TM1,B1631&lt;=_TM2,OR(TH!L1762="1111",TH!M1762="1111")),TH!D1762,""),"")</f>
        <v/>
      </c>
      <c r="B1631" s="36">
        <f t="shared" si="76"/>
        <v>11</v>
      </c>
      <c r="C1631" s="184">
        <f t="shared" si="75"/>
        <v>42677</v>
      </c>
      <c r="D1631" s="184" t="s">
        <v>1133</v>
      </c>
      <c r="E1631" s="191">
        <v>42677</v>
      </c>
      <c r="F1631" s="40" t="s">
        <v>1285</v>
      </c>
      <c r="G1631" s="456" t="s">
        <v>1384</v>
      </c>
      <c r="H1631" s="7" t="s">
        <v>811</v>
      </c>
      <c r="I1631" s="257"/>
      <c r="J1631" s="257"/>
      <c r="K1631" s="38">
        <v>652580</v>
      </c>
      <c r="L1631" s="194" t="s">
        <v>259</v>
      </c>
      <c r="M1631" s="194" t="s">
        <v>370</v>
      </c>
      <c r="N1631" s="52" t="str">
        <f>IF(AND('331-CT'!$E$7=TH!H1631,OR(L1631="331",M1631="331")),"331",IF(AND(OR(L1631="131",M1631="131"),H1631='131-CT'!$E$7),"131",""))</f>
        <v/>
      </c>
      <c r="O1631" s="857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91"/>
      <c r="AC1631" s="557"/>
      <c r="AD1631" s="557"/>
    </row>
    <row r="1632" spans="1:33" s="211" customFormat="1" ht="15.75" customHeight="1">
      <c r="A1632" s="204" t="str">
        <f>IF(B1632&lt;&gt;"",IF(AND(B1632&gt;=_TM1,B1632&lt;=_TM2,OR(TH!L627="1111",TH!M627="1111")),TH!D627,""),"")</f>
        <v/>
      </c>
      <c r="B1632" s="36">
        <f t="shared" si="76"/>
        <v>11</v>
      </c>
      <c r="C1632" s="184">
        <f t="shared" si="75"/>
        <v>42678</v>
      </c>
      <c r="D1632" s="184" t="s">
        <v>699</v>
      </c>
      <c r="E1632" s="191">
        <v>42678</v>
      </c>
      <c r="F1632" s="189" t="s">
        <v>701</v>
      </c>
      <c r="G1632" s="192" t="s">
        <v>1318</v>
      </c>
      <c r="H1632" s="193"/>
      <c r="I1632" s="256"/>
      <c r="J1632" s="256"/>
      <c r="K1632" s="565">
        <v>8000000</v>
      </c>
      <c r="L1632" s="566" t="s">
        <v>8</v>
      </c>
      <c r="M1632" s="566" t="s">
        <v>24</v>
      </c>
      <c r="N1632" s="52" t="str">
        <f>IF(AND('331-CT'!$E$7=TH!H1632,OR(L1632="331",M1632="331")),"331",IF(AND(OR(L1632="131",M1632="131"),H1632='131-CT'!$E$7),"131",""))</f>
        <v/>
      </c>
      <c r="O1632" s="857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>x</v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92"/>
      <c r="AC1632" s="557"/>
      <c r="AD1632" s="557"/>
    </row>
    <row r="1633" spans="1:33" s="211" customFormat="1" ht="15.75" customHeight="1">
      <c r="A1633" s="204" t="str">
        <f>IF(B1633&lt;&gt;"",IF(AND(B1633&gt;=_TM1,B1633&lt;=_TM2,OR(TH!L628="1111",TH!M628="1111")),TH!D628,""),"")</f>
        <v/>
      </c>
      <c r="B1633" s="36">
        <f t="shared" si="76"/>
        <v>11</v>
      </c>
      <c r="C1633" s="184">
        <f t="shared" si="75"/>
        <v>42678</v>
      </c>
      <c r="D1633" s="184" t="s">
        <v>699</v>
      </c>
      <c r="E1633" s="191">
        <v>42678</v>
      </c>
      <c r="F1633" s="192" t="s">
        <v>702</v>
      </c>
      <c r="G1633" s="192" t="s">
        <v>1318</v>
      </c>
      <c r="H1633" s="7"/>
      <c r="I1633" s="256"/>
      <c r="J1633" s="256"/>
      <c r="K1633" s="565">
        <v>15000</v>
      </c>
      <c r="L1633" s="566" t="s">
        <v>83</v>
      </c>
      <c r="M1633" s="566" t="s">
        <v>24</v>
      </c>
      <c r="N1633" s="52" t="str">
        <f>IF(AND('331-CT'!$E$7=TH!H1633,OR(L1633="331",M1633="331")),"331",IF(AND(OR(L1633="131",M1633="131"),H1633='131-CT'!$E$7),"131",""))</f>
        <v/>
      </c>
      <c r="O1633" s="857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>x</v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92">
        <v>4</v>
      </c>
      <c r="AC1633" s="557"/>
      <c r="AD1633" s="557"/>
    </row>
    <row r="1634" spans="1:33" s="211" customFormat="1" ht="15.75" customHeight="1">
      <c r="A1634" s="204" t="str">
        <f>IF(B1634&lt;&gt;"",IF(AND(B1634&gt;=_TM1,B1634&lt;=_TM2,OR(TH!L629="1111",TH!M629="1111")),TH!D629,""),"")</f>
        <v/>
      </c>
      <c r="B1634" s="36">
        <f t="shared" si="76"/>
        <v>11</v>
      </c>
      <c r="C1634" s="184">
        <f t="shared" si="75"/>
        <v>42678</v>
      </c>
      <c r="D1634" s="184" t="s">
        <v>699</v>
      </c>
      <c r="E1634" s="191">
        <v>42678</v>
      </c>
      <c r="F1634" s="192" t="s">
        <v>793</v>
      </c>
      <c r="G1634" s="192" t="s">
        <v>1318</v>
      </c>
      <c r="H1634" s="7"/>
      <c r="I1634" s="256"/>
      <c r="J1634" s="256"/>
      <c r="K1634" s="565">
        <v>1500</v>
      </c>
      <c r="L1634" s="194" t="s">
        <v>9</v>
      </c>
      <c r="M1634" s="566" t="s">
        <v>24</v>
      </c>
      <c r="N1634" s="52" t="str">
        <f>IF(AND('331-CT'!$E$7=TH!H1634,OR(L1634="331",M1634="331")),"331",IF(AND(OR(L1634="131",M1634="131"),H1634='131-CT'!$E$7),"131",""))</f>
        <v/>
      </c>
      <c r="O1634" s="857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>x</v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92">
        <v>4</v>
      </c>
      <c r="AC1634" s="557"/>
    </row>
    <row r="1635" spans="1:33" s="211" customFormat="1" ht="15.75" customHeight="1">
      <c r="A1635" s="204" t="str">
        <f>IF(B1635&lt;&gt;"",IF(AND(B1635&gt;=_TM1,B1635&lt;=_TM2,OR(TH!L1763="1111",TH!M1763="1111")),TH!D1763,""),"")</f>
        <v/>
      </c>
      <c r="B1635" s="36">
        <f t="shared" si="76"/>
        <v>11</v>
      </c>
      <c r="C1635" s="184">
        <f t="shared" si="75"/>
        <v>42679</v>
      </c>
      <c r="D1635" s="184" t="s">
        <v>1134</v>
      </c>
      <c r="E1635" s="191">
        <v>42679</v>
      </c>
      <c r="F1635" s="192" t="s">
        <v>1474</v>
      </c>
      <c r="G1635" s="456" t="s">
        <v>1385</v>
      </c>
      <c r="H1635" s="7" t="s">
        <v>429</v>
      </c>
      <c r="I1635" s="257">
        <v>450</v>
      </c>
      <c r="J1635" s="257">
        <v>10500</v>
      </c>
      <c r="K1635" s="38">
        <f>ROUND(I1635*J1635,0)</f>
        <v>4725000</v>
      </c>
      <c r="L1635" s="194" t="s">
        <v>259</v>
      </c>
      <c r="M1635" s="194" t="s">
        <v>174</v>
      </c>
      <c r="N1635" s="52" t="str">
        <f>IF(AND('331-CT'!$E$7=TH!H1635,OR(L1635="331",M1635="331")),"331",IF(AND(OR(L1635="131",M1635="131"),H1635='131-CT'!$E$7),"131",""))</f>
        <v/>
      </c>
      <c r="O1635" s="857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91"/>
      <c r="AC1635" s="557" t="str">
        <f>IF(VLOOKUP(F1635,NXT!$C$35:$C$411,1,0)=F1635,"","x")</f>
        <v/>
      </c>
      <c r="AD1635" s="557"/>
    </row>
    <row r="1636" spans="1:33" s="211" customFormat="1" ht="15.75" customHeight="1">
      <c r="A1636" s="204" t="str">
        <f>IF(B1636&lt;&gt;"",IF(AND(B1636&gt;=_TM1,B1636&lt;=_TM2,OR(TH!L1764="1111",TH!M1764="1111")),TH!D1764,""),"")</f>
        <v/>
      </c>
      <c r="B1636" s="36">
        <f t="shared" si="76"/>
        <v>11</v>
      </c>
      <c r="C1636" s="184">
        <f t="shared" si="75"/>
        <v>42679</v>
      </c>
      <c r="D1636" s="184" t="s">
        <v>1134</v>
      </c>
      <c r="E1636" s="191">
        <v>42679</v>
      </c>
      <c r="F1636" s="192" t="s">
        <v>1474</v>
      </c>
      <c r="G1636" s="456" t="s">
        <v>1385</v>
      </c>
      <c r="H1636" s="7" t="s">
        <v>429</v>
      </c>
      <c r="I1636" s="257">
        <v>200</v>
      </c>
      <c r="J1636" s="257">
        <v>10500</v>
      </c>
      <c r="K1636" s="38">
        <f>ROUND(I1636*J1636,0)</f>
        <v>2100000</v>
      </c>
      <c r="L1636" s="194" t="s">
        <v>259</v>
      </c>
      <c r="M1636" s="194" t="s">
        <v>174</v>
      </c>
      <c r="N1636" s="52" t="str">
        <f>IF(AND('331-CT'!$E$7=TH!H1636,OR(L1636="331",M1636="331")),"331",IF(AND(OR(L1636="131",M1636="131"),H1636='131-CT'!$E$7),"131",""))</f>
        <v/>
      </c>
      <c r="O1636" s="857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91"/>
      <c r="AC1636" s="557" t="str">
        <f>IF(VLOOKUP(F1636,NXT!$C$35:$C$411,1,0)=F1636,"","x")</f>
        <v/>
      </c>
      <c r="AD1636" s="557"/>
    </row>
    <row r="1637" spans="1:33" s="211" customFormat="1" ht="15.75" customHeight="1">
      <c r="A1637" s="204">
        <f>IF(B1637&lt;&gt;"",IF(AND(B1637&gt;=_TM1,B1637&lt;=_TM2,OR(TH!L1765="1111",TH!M1765="1111")),TH!D1765,""),"")</f>
        <v>0</v>
      </c>
      <c r="B1637" s="36">
        <f t="shared" si="76"/>
        <v>11</v>
      </c>
      <c r="C1637" s="184">
        <f t="shared" si="75"/>
        <v>42679</v>
      </c>
      <c r="D1637" s="184" t="s">
        <v>1134</v>
      </c>
      <c r="E1637" s="191">
        <v>42679</v>
      </c>
      <c r="F1637" s="40" t="s">
        <v>1386</v>
      </c>
      <c r="G1637" s="456" t="s">
        <v>1385</v>
      </c>
      <c r="H1637" s="7" t="s">
        <v>429</v>
      </c>
      <c r="I1637" s="257">
        <v>530</v>
      </c>
      <c r="J1637" s="257">
        <v>8800</v>
      </c>
      <c r="K1637" s="38">
        <f>ROUND(I1637*J1637,0)</f>
        <v>4664000</v>
      </c>
      <c r="L1637" s="194" t="s">
        <v>259</v>
      </c>
      <c r="M1637" s="194" t="s">
        <v>174</v>
      </c>
      <c r="N1637" s="52" t="str">
        <f>IF(AND('331-CT'!$E$7=TH!H1637,OR(L1637="331",M1637="331")),"331",IF(AND(OR(L1637="131",M1637="131"),H1637='131-CT'!$E$7),"131",""))</f>
        <v/>
      </c>
      <c r="O1637" s="857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91"/>
      <c r="AC1637" s="557" t="str">
        <f>IF(VLOOKUP(F1637,NXT!$C$35:$C$411,1,0)=F1637,"","x")</f>
        <v/>
      </c>
      <c r="AD1637" s="557"/>
    </row>
    <row r="1638" spans="1:33" s="211" customFormat="1" ht="15.75" customHeight="1">
      <c r="A1638" s="204">
        <f>IF(B1638&lt;&gt;"",IF(AND(B1638&gt;=_TM1,B1638&lt;=_TM2,OR(TH!L1766="1111",TH!M1766="1111")),TH!D1766,""),"")</f>
        <v>0</v>
      </c>
      <c r="B1638" s="36">
        <f t="shared" si="76"/>
        <v>11</v>
      </c>
      <c r="C1638" s="184">
        <f t="shared" si="75"/>
        <v>42679</v>
      </c>
      <c r="D1638" s="184" t="s">
        <v>1134</v>
      </c>
      <c r="E1638" s="191">
        <v>42679</v>
      </c>
      <c r="F1638" s="40" t="s">
        <v>1285</v>
      </c>
      <c r="G1638" s="456" t="s">
        <v>1385</v>
      </c>
      <c r="H1638" s="7" t="s">
        <v>429</v>
      </c>
      <c r="I1638" s="257"/>
      <c r="J1638" s="257"/>
      <c r="K1638" s="38">
        <v>1148900</v>
      </c>
      <c r="L1638" s="194" t="s">
        <v>259</v>
      </c>
      <c r="M1638" s="194" t="s">
        <v>370</v>
      </c>
      <c r="N1638" s="52" t="str">
        <f>IF(AND('331-CT'!$E$7=TH!H1638,OR(L1638="331",M1638="331")),"331",IF(AND(OR(L1638="131",M1638="131"),H1638='131-CT'!$E$7),"131",""))</f>
        <v/>
      </c>
      <c r="O1638" s="857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91"/>
      <c r="AC1638" s="557"/>
      <c r="AD1638" s="557"/>
    </row>
    <row r="1639" spans="1:33" s="211" customFormat="1" ht="15.75" customHeight="1">
      <c r="A1639" s="204" t="str">
        <f>IF(B1639&lt;&gt;"",IF(AND(B1639&gt;=_TM1,B1639&lt;=_TM2,OR(TH!L1601="1111",TH!M1601="1111")),TH!D1601,""),"")</f>
        <v/>
      </c>
      <c r="B1639" s="36">
        <f t="shared" si="76"/>
        <v>11</v>
      </c>
      <c r="C1639" s="184">
        <f t="shared" si="75"/>
        <v>42682</v>
      </c>
      <c r="D1639" s="184" t="s">
        <v>1218</v>
      </c>
      <c r="E1639" s="191">
        <v>42682</v>
      </c>
      <c r="F1639" s="192" t="s">
        <v>706</v>
      </c>
      <c r="G1639" s="456" t="s">
        <v>1454</v>
      </c>
      <c r="H1639" s="193" t="s">
        <v>855</v>
      </c>
      <c r="I1639" s="257">
        <v>8300</v>
      </c>
      <c r="J1639" s="257">
        <v>8500</v>
      </c>
      <c r="K1639" s="38">
        <f>ROUND(I1639*J1639,0)</f>
        <v>70550000</v>
      </c>
      <c r="L1639" s="194" t="s">
        <v>159</v>
      </c>
      <c r="M1639" s="194" t="s">
        <v>8</v>
      </c>
      <c r="N1639" s="52" t="str">
        <f>IF(AND('331-CT'!$E$7=TH!H1639,OR(L1639="331",M1639="331")),"331",IF(AND(OR(L1639="131",M1639="131"),H1639='131-CT'!$E$7),"131",""))</f>
        <v/>
      </c>
      <c r="O1639" s="857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790">
        <v>4</v>
      </c>
      <c r="AC1639" s="557"/>
      <c r="AD1639" s="557"/>
    </row>
    <row r="1640" spans="1:33" s="211" customFormat="1" ht="15.75" customHeight="1">
      <c r="A1640" s="204" t="str">
        <f>IF(B1640&lt;&gt;"",IF(AND(B1640&gt;=_TM1,B1640&lt;=_TM2,OR(TH!L1602="1111",TH!M1602="1111")),TH!D1602,""),"")</f>
        <v/>
      </c>
      <c r="B1640" s="36">
        <f t="shared" si="76"/>
        <v>11</v>
      </c>
      <c r="C1640" s="184">
        <f t="shared" si="75"/>
        <v>42682</v>
      </c>
      <c r="D1640" s="184"/>
      <c r="E1640" s="191">
        <v>42682</v>
      </c>
      <c r="F1640" s="40" t="s">
        <v>714</v>
      </c>
      <c r="G1640" s="456" t="s">
        <v>1454</v>
      </c>
      <c r="H1640" s="193" t="s">
        <v>855</v>
      </c>
      <c r="I1640" s="257"/>
      <c r="J1640" s="257"/>
      <c r="K1640" s="38">
        <v>7055000</v>
      </c>
      <c r="L1640" s="194" t="s">
        <v>9</v>
      </c>
      <c r="M1640" s="194" t="s">
        <v>8</v>
      </c>
      <c r="N1640" s="52" t="str">
        <f>IF(AND('331-CT'!$E$7=TH!H1640,OR(L1640="331",M1640="331")),"331",IF(AND(OR(L1640="131",M1640="131"),H1640='131-CT'!$E$7),"131",""))</f>
        <v/>
      </c>
      <c r="O1640" s="857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790">
        <v>4</v>
      </c>
      <c r="AC1640" s="557"/>
      <c r="AD1640" s="557"/>
    </row>
    <row r="1641" spans="1:33" s="211" customFormat="1" ht="15.75" customHeight="1">
      <c r="A1641" s="204" t="str">
        <f>IF(B1641&lt;&gt;"",IF(AND(B1641&gt;=_TM1,B1641&lt;=_TM2,OR(TH!L1607="1111",TH!M1607="1111")),TH!D1607,""),"")</f>
        <v/>
      </c>
      <c r="B1641" s="36">
        <f t="shared" si="76"/>
        <v>11</v>
      </c>
      <c r="C1641" s="184">
        <f t="shared" si="75"/>
        <v>42682</v>
      </c>
      <c r="D1641" s="184"/>
      <c r="E1641" s="191">
        <v>42682</v>
      </c>
      <c r="F1641" s="192" t="s">
        <v>1557</v>
      </c>
      <c r="G1641" s="456" t="s">
        <v>1559</v>
      </c>
      <c r="H1641" s="193" t="s">
        <v>1560</v>
      </c>
      <c r="I1641" s="257"/>
      <c r="J1641" s="257"/>
      <c r="K1641" s="38">
        <v>509091</v>
      </c>
      <c r="L1641" s="194" t="s">
        <v>83</v>
      </c>
      <c r="M1641" s="194" t="s">
        <v>47</v>
      </c>
      <c r="N1641" s="52" t="str">
        <f>IF(AND('331-CT'!$E$7=TH!H1641,OR(L1641="331",M1641="331")),"331",IF(AND(OR(L1641="131",M1641="131"),H1641='131-CT'!$E$7),"131",""))</f>
        <v/>
      </c>
      <c r="O1641" s="857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>x</v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790">
        <v>4</v>
      </c>
      <c r="AC1641" s="557"/>
      <c r="AD1641" s="557"/>
    </row>
    <row r="1642" spans="1:33" s="211" customFormat="1" ht="15.75" customHeight="1">
      <c r="A1642" s="204" t="str">
        <f>IF(B1642&lt;&gt;"",IF(AND(B1642&gt;=_TM1,B1642&lt;=_TM2,OR(TH!L1608="1111",TH!M1608="1111")),TH!D1608,""),"")</f>
        <v>GBN</v>
      </c>
      <c r="B1642" s="36">
        <f t="shared" si="76"/>
        <v>11</v>
      </c>
      <c r="C1642" s="184">
        <f t="shared" si="75"/>
        <v>42682</v>
      </c>
      <c r="D1642" s="184"/>
      <c r="E1642" s="191">
        <v>42682</v>
      </c>
      <c r="F1642" s="192" t="s">
        <v>1561</v>
      </c>
      <c r="G1642" s="456" t="s">
        <v>1559</v>
      </c>
      <c r="H1642" s="193" t="s">
        <v>1560</v>
      </c>
      <c r="I1642" s="257"/>
      <c r="J1642" s="257"/>
      <c r="K1642" s="38">
        <v>50000</v>
      </c>
      <c r="L1642" s="194" t="s">
        <v>83</v>
      </c>
      <c r="M1642" s="194" t="s">
        <v>47</v>
      </c>
      <c r="N1642" s="52" t="str">
        <f>IF(AND('331-CT'!$E$7=TH!H1642,OR(L1642="331",M1642="331")),"331",IF(AND(OR(L1642="131",M1642="131"),H1642='131-CT'!$E$7),"131",""))</f>
        <v/>
      </c>
      <c r="O1642" s="857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>x</v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790">
        <v>4</v>
      </c>
      <c r="AC1642" s="557"/>
      <c r="AD1642" s="557"/>
    </row>
    <row r="1643" spans="1:33" s="900" customFormat="1" ht="15.75" customHeight="1">
      <c r="A1643" s="204" t="str">
        <f>IF(B1643&lt;&gt;"",IF(AND(B1643&gt;=_TM1,B1643&lt;=_TM2,OR(TH!L1609="1111",TH!M1609="1111")),TH!D1609,""),"")</f>
        <v/>
      </c>
      <c r="B1643" s="36">
        <f t="shared" si="76"/>
        <v>11</v>
      </c>
      <c r="C1643" s="184">
        <f t="shared" si="75"/>
        <v>42682</v>
      </c>
      <c r="D1643" s="184"/>
      <c r="E1643" s="191">
        <v>42682</v>
      </c>
      <c r="F1643" s="192" t="s">
        <v>1558</v>
      </c>
      <c r="G1643" s="456" t="s">
        <v>1559</v>
      </c>
      <c r="H1643" s="193" t="s">
        <v>1560</v>
      </c>
      <c r="I1643" s="257"/>
      <c r="J1643" s="257"/>
      <c r="K1643" s="38">
        <v>50909</v>
      </c>
      <c r="L1643" s="194" t="s">
        <v>9</v>
      </c>
      <c r="M1643" s="194" t="s">
        <v>47</v>
      </c>
      <c r="N1643" s="52" t="str">
        <f>IF(AND('331-CT'!$E$7=TH!H1643,OR(L1643="331",M1643="331")),"331",IF(AND(OR(L1643="131",M1643="131"),H1643='131-CT'!$E$7),"131",""))</f>
        <v/>
      </c>
      <c r="O1643" s="857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790">
        <v>4</v>
      </c>
      <c r="AC1643" s="557"/>
      <c r="AD1643" s="557"/>
      <c r="AE1643" s="211"/>
      <c r="AF1643" s="211"/>
      <c r="AG1643" s="211"/>
    </row>
    <row r="1644" spans="1:33" s="900" customFormat="1" ht="15.75" customHeight="1">
      <c r="A1644" s="204" t="str">
        <f>IF(B1644&lt;&gt;"",IF(AND(B1644&gt;=_TM1,B1644&lt;=_TM2,OR(TH!L1610="1111",TH!M1610="1111")),TH!D1610,""),"")</f>
        <v/>
      </c>
      <c r="B1644" s="36">
        <f t="shared" si="76"/>
        <v>11</v>
      </c>
      <c r="C1644" s="184">
        <f t="shared" si="75"/>
        <v>42682</v>
      </c>
      <c r="D1644" s="184"/>
      <c r="E1644" s="191">
        <v>42682</v>
      </c>
      <c r="F1644" s="192" t="s">
        <v>1566</v>
      </c>
      <c r="G1644" s="456" t="s">
        <v>1568</v>
      </c>
      <c r="H1644" s="193" t="s">
        <v>1560</v>
      </c>
      <c r="I1644" s="257"/>
      <c r="J1644" s="257"/>
      <c r="K1644" s="38">
        <v>254545</v>
      </c>
      <c r="L1644" s="194" t="s">
        <v>83</v>
      </c>
      <c r="M1644" s="194" t="s">
        <v>47</v>
      </c>
      <c r="N1644" s="52" t="str">
        <f>IF(AND('331-CT'!$E$7=TH!H1644,OR(L1644="331",M1644="331")),"331",IF(AND(OR(L1644="131",M1644="131"),H1644='131-CT'!$E$7),"131",""))</f>
        <v/>
      </c>
      <c r="O1644" s="857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>x</v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790">
        <v>4</v>
      </c>
      <c r="AC1644" s="557"/>
      <c r="AD1644" s="557"/>
      <c r="AE1644" s="211"/>
      <c r="AF1644" s="211"/>
      <c r="AG1644" s="211"/>
    </row>
    <row r="1645" spans="1:33" s="900" customFormat="1" ht="15.75" customHeight="1">
      <c r="A1645" s="204" t="str">
        <f>IF(B1645&lt;&gt;"",IF(AND(B1645&gt;=_TM1,B1645&lt;=_TM2,OR(TH!L1611="1111",TH!M1611="1111")),TH!D1611,""),"")</f>
        <v/>
      </c>
      <c r="B1645" s="36">
        <f t="shared" si="76"/>
        <v>11</v>
      </c>
      <c r="C1645" s="184">
        <f t="shared" si="75"/>
        <v>42682</v>
      </c>
      <c r="D1645" s="184"/>
      <c r="E1645" s="191">
        <v>42682</v>
      </c>
      <c r="F1645" s="192" t="s">
        <v>1561</v>
      </c>
      <c r="G1645" s="456" t="s">
        <v>1568</v>
      </c>
      <c r="H1645" s="193" t="s">
        <v>1560</v>
      </c>
      <c r="I1645" s="257"/>
      <c r="J1645" s="257"/>
      <c r="K1645" s="38">
        <v>50000</v>
      </c>
      <c r="L1645" s="194" t="s">
        <v>83</v>
      </c>
      <c r="M1645" s="194" t="s">
        <v>47</v>
      </c>
      <c r="N1645" s="52" t="str">
        <f>IF(AND('331-CT'!$E$7=TH!H1645,OR(L1645="331",M1645="331")),"331",IF(AND(OR(L1645="131",M1645="131"),H1645='131-CT'!$E$7),"131",""))</f>
        <v/>
      </c>
      <c r="O1645" s="857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>x</v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790">
        <v>4</v>
      </c>
      <c r="AC1645" s="557"/>
      <c r="AD1645" s="557"/>
      <c r="AE1645" s="211"/>
      <c r="AF1645" s="211"/>
      <c r="AG1645" s="211"/>
    </row>
    <row r="1646" spans="1:33" s="900" customFormat="1" ht="15.75" customHeight="1">
      <c r="A1646" s="204" t="str">
        <f>IF(B1646&lt;&gt;"",IF(AND(B1646&gt;=_TM1,B1646&lt;=_TM2,OR(TH!L1612="1111",TH!M1612="1111")),TH!D1612,""),"")</f>
        <v>GBN</v>
      </c>
      <c r="B1646" s="36">
        <f t="shared" si="76"/>
        <v>11</v>
      </c>
      <c r="C1646" s="184">
        <f t="shared" si="75"/>
        <v>42682</v>
      </c>
      <c r="D1646" s="184"/>
      <c r="E1646" s="191">
        <v>42682</v>
      </c>
      <c r="F1646" s="192" t="s">
        <v>1567</v>
      </c>
      <c r="G1646" s="456" t="s">
        <v>1568</v>
      </c>
      <c r="H1646" s="193" t="s">
        <v>1560</v>
      </c>
      <c r="I1646" s="257"/>
      <c r="J1646" s="257"/>
      <c r="K1646" s="38">
        <v>25455</v>
      </c>
      <c r="L1646" s="194" t="s">
        <v>9</v>
      </c>
      <c r="M1646" s="194" t="s">
        <v>47</v>
      </c>
      <c r="N1646" s="52" t="str">
        <f>IF(AND('331-CT'!$E$7=TH!H1646,OR(L1646="331",M1646="331")),"331",IF(AND(OR(L1646="131",M1646="131"),H1646='131-CT'!$E$7),"131",""))</f>
        <v/>
      </c>
      <c r="O1646" s="857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790">
        <v>4</v>
      </c>
      <c r="AC1646" s="557"/>
      <c r="AD1646" s="557"/>
      <c r="AE1646" s="211"/>
      <c r="AF1646" s="211"/>
      <c r="AG1646" s="211"/>
    </row>
    <row r="1647" spans="1:33" s="900" customFormat="1" ht="15.75" customHeight="1">
      <c r="A1647" s="204">
        <f>IF(B1647&lt;&gt;"",IF(AND(B1647&gt;=_TM1,B1647&lt;=_TM2,OR(TH!L1767="1111",TH!M1767="1111")),TH!D1767,""),"")</f>
        <v>0</v>
      </c>
      <c r="B1647" s="36">
        <f t="shared" si="76"/>
        <v>11</v>
      </c>
      <c r="C1647" s="184">
        <f t="shared" si="75"/>
        <v>42682</v>
      </c>
      <c r="D1647" s="184" t="s">
        <v>1135</v>
      </c>
      <c r="E1647" s="191">
        <v>42682</v>
      </c>
      <c r="F1647" s="40" t="s">
        <v>1389</v>
      </c>
      <c r="G1647" s="456" t="s">
        <v>1388</v>
      </c>
      <c r="H1647" s="193" t="s">
        <v>1387</v>
      </c>
      <c r="I1647" s="257">
        <v>1140</v>
      </c>
      <c r="J1647" s="257">
        <v>840</v>
      </c>
      <c r="K1647" s="38">
        <f>ROUND(I1647*J1647,0)</f>
        <v>957600</v>
      </c>
      <c r="L1647" s="194" t="s">
        <v>259</v>
      </c>
      <c r="M1647" s="194" t="s">
        <v>1392</v>
      </c>
      <c r="N1647" s="52" t="str">
        <f>IF(AND('331-CT'!$E$7=TH!H1647,OR(L1647="331",M1647="331")),"331",IF(AND(OR(L1647="131",M1647="131"),H1647='131-CT'!$E$7),"131",""))</f>
        <v/>
      </c>
      <c r="O1647" s="857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1"/>
      <c r="AC1647" s="557"/>
      <c r="AD1647" s="211"/>
      <c r="AE1647" s="211"/>
      <c r="AF1647" s="211"/>
      <c r="AG1647" s="211"/>
    </row>
    <row r="1648" spans="1:33" s="900" customFormat="1" ht="15.75" customHeight="1">
      <c r="A1648" s="204" t="str">
        <f>IF(B1648&lt;&gt;"",IF(AND(B1648&gt;=_TM1,B1648&lt;=_TM2,OR(TH!L1768="1111",TH!M1768="1111")),TH!D1768,""),"")</f>
        <v/>
      </c>
      <c r="B1648" s="36">
        <f t="shared" si="76"/>
        <v>11</v>
      </c>
      <c r="C1648" s="184">
        <f t="shared" si="75"/>
        <v>42682</v>
      </c>
      <c r="D1648" s="184" t="s">
        <v>1135</v>
      </c>
      <c r="E1648" s="191">
        <v>42682</v>
      </c>
      <c r="F1648" s="40" t="s">
        <v>1390</v>
      </c>
      <c r="G1648" s="456" t="s">
        <v>1388</v>
      </c>
      <c r="H1648" s="193" t="s">
        <v>1387</v>
      </c>
      <c r="I1648" s="257">
        <v>10540</v>
      </c>
      <c r="J1648" s="257">
        <v>750</v>
      </c>
      <c r="K1648" s="38">
        <f>ROUND(I1648*J1648,0)</f>
        <v>7905000</v>
      </c>
      <c r="L1648" s="194" t="s">
        <v>259</v>
      </c>
      <c r="M1648" s="194" t="s">
        <v>1392</v>
      </c>
      <c r="N1648" s="52" t="str">
        <f>IF(AND('331-CT'!$E$7=TH!H1648,OR(L1648="331",M1648="331")),"331",IF(AND(OR(L1648="131",M1648="131"),H1648='131-CT'!$E$7),"131",""))</f>
        <v/>
      </c>
      <c r="O1648" s="857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1"/>
      <c r="AC1648" s="557"/>
      <c r="AD1648" s="557"/>
      <c r="AE1648" s="211"/>
      <c r="AF1648" s="211"/>
      <c r="AG1648" s="211"/>
    </row>
    <row r="1649" spans="1:33" s="900" customFormat="1" ht="15.75" customHeight="1">
      <c r="A1649" s="204" t="str">
        <f>IF(B1649&lt;&gt;"",IF(AND(B1649&gt;=_TM1,B1649&lt;=_TM2,OR(TH!L1769="1111",TH!M1769="1111")),TH!D1769,""),"")</f>
        <v/>
      </c>
      <c r="B1649" s="36">
        <f t="shared" si="76"/>
        <v>11</v>
      </c>
      <c r="C1649" s="184">
        <f t="shared" si="75"/>
        <v>42682</v>
      </c>
      <c r="D1649" s="184" t="s">
        <v>1135</v>
      </c>
      <c r="E1649" s="191">
        <v>42682</v>
      </c>
      <c r="F1649" s="40" t="s">
        <v>1391</v>
      </c>
      <c r="G1649" s="456" t="s">
        <v>1388</v>
      </c>
      <c r="H1649" s="193" t="s">
        <v>1387</v>
      </c>
      <c r="I1649" s="257"/>
      <c r="J1649" s="257"/>
      <c r="K1649" s="38">
        <v>886260</v>
      </c>
      <c r="L1649" s="194" t="s">
        <v>259</v>
      </c>
      <c r="M1649" s="194" t="s">
        <v>370</v>
      </c>
      <c r="N1649" s="52" t="str">
        <f>IF(AND('331-CT'!$E$7=TH!H1649,OR(L1649="331",M1649="331")),"331",IF(AND(OR(L1649="131",M1649="131"),H1649='131-CT'!$E$7),"131",""))</f>
        <v/>
      </c>
      <c r="O1649" s="857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1"/>
      <c r="AC1649" s="557"/>
      <c r="AD1649" s="211"/>
      <c r="AE1649" s="211"/>
      <c r="AF1649" s="211"/>
      <c r="AG1649" s="211"/>
    </row>
    <row r="1650" spans="1:33" s="900" customFormat="1" ht="15.75" customHeight="1">
      <c r="A1650" s="204" t="str">
        <f>IF(B1650&lt;&gt;"",IF(AND(B1650&gt;=_TM1,B1650&lt;=_TM2,OR(TH!L499="1111",TH!M499="1111")),TH!D499,""),"")</f>
        <v/>
      </c>
      <c r="B1650" s="36">
        <f t="shared" si="76"/>
        <v>11</v>
      </c>
      <c r="C1650" s="184">
        <f t="shared" si="75"/>
        <v>42683</v>
      </c>
      <c r="D1650" s="184" t="s">
        <v>695</v>
      </c>
      <c r="E1650" s="191">
        <v>42683</v>
      </c>
      <c r="F1650" s="192" t="s">
        <v>696</v>
      </c>
      <c r="G1650" s="192" t="s">
        <v>332</v>
      </c>
      <c r="H1650" s="193" t="s">
        <v>1403</v>
      </c>
      <c r="I1650" s="256"/>
      <c r="J1650" s="256"/>
      <c r="K1650" s="565">
        <v>4989600</v>
      </c>
      <c r="L1650" s="194" t="s">
        <v>24</v>
      </c>
      <c r="M1650" s="194" t="s">
        <v>259</v>
      </c>
      <c r="N1650" s="52" t="str">
        <f>IF(AND('331-CT'!$E$7=TH!H1650,OR(L1650="331",M1650="331")),"331",IF(AND(OR(L1650="131",M1650="131"),H1650='131-CT'!$E$7),"131",""))</f>
        <v/>
      </c>
      <c r="O1650" s="857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2"/>
      <c r="AC1650" s="557"/>
      <c r="AD1650" s="211"/>
      <c r="AE1650" s="211"/>
      <c r="AF1650" s="211"/>
      <c r="AG1650" s="211"/>
    </row>
    <row r="1651" spans="1:33" s="900" customFormat="1" ht="15.75" customHeight="1">
      <c r="A1651" s="204">
        <f>IF(B1651&lt;&gt;"",IF(AND(B1651&gt;=_TM1,B1651&lt;=_TM2,OR(TH!L1770="1111",TH!M1770="1111")),TH!D1770,""),"")</f>
        <v>0</v>
      </c>
      <c r="B1651" s="36">
        <f t="shared" si="76"/>
        <v>11</v>
      </c>
      <c r="C1651" s="184">
        <f t="shared" si="75"/>
        <v>42683</v>
      </c>
      <c r="D1651" s="184" t="s">
        <v>1136</v>
      </c>
      <c r="E1651" s="191">
        <v>42683</v>
      </c>
      <c r="F1651" s="40" t="s">
        <v>1397</v>
      </c>
      <c r="G1651" s="456" t="s">
        <v>1394</v>
      </c>
      <c r="H1651" s="193" t="s">
        <v>1395</v>
      </c>
      <c r="I1651" s="257">
        <v>233</v>
      </c>
      <c r="J1651" s="257">
        <v>7507</v>
      </c>
      <c r="K1651" s="38">
        <f>ROUND(I1651*J1651,0)</f>
        <v>1749131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57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1"/>
      <c r="AC1651" s="557" t="str">
        <f>IF(VLOOKUP(F1651,NXT!$C$35:$C$411,1,0)=F1651,"","x")</f>
        <v/>
      </c>
      <c r="AD1651" s="557"/>
      <c r="AE1651" s="211"/>
      <c r="AF1651" s="211"/>
      <c r="AG1651" s="211"/>
    </row>
    <row r="1652" spans="1:33" s="900" customFormat="1" ht="15.75" customHeight="1">
      <c r="A1652" s="204" t="str">
        <f>IF(B1652&lt;&gt;"",IF(AND(B1652&gt;=_TM1,B1652&lt;=_TM2,OR(TH!L1771="1111",TH!M1771="1111")),TH!D1771,""),"")</f>
        <v/>
      </c>
      <c r="B1652" s="36">
        <f t="shared" si="76"/>
        <v>11</v>
      </c>
      <c r="C1652" s="184">
        <f t="shared" si="75"/>
        <v>42683</v>
      </c>
      <c r="D1652" s="184" t="s">
        <v>1136</v>
      </c>
      <c r="E1652" s="191">
        <v>42683</v>
      </c>
      <c r="F1652" s="40" t="s">
        <v>1398</v>
      </c>
      <c r="G1652" s="456" t="s">
        <v>1394</v>
      </c>
      <c r="H1652" s="193" t="s">
        <v>1395</v>
      </c>
      <c r="I1652" s="257">
        <v>13</v>
      </c>
      <c r="J1652" s="257">
        <v>8602</v>
      </c>
      <c r="K1652" s="38">
        <f>ROUND(I1652*J1652,0)</f>
        <v>111826</v>
      </c>
      <c r="L1652" s="194" t="s">
        <v>259</v>
      </c>
      <c r="M1652" s="194" t="s">
        <v>174</v>
      </c>
      <c r="N1652" s="52" t="str">
        <f>IF(AND('331-CT'!$E$7=TH!H1652,OR(L1652="331",M1652="331")),"331",IF(AND(OR(L1652="131",M1652="131"),H1652='131-CT'!$E$7),"131",""))</f>
        <v/>
      </c>
      <c r="O1652" s="857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1"/>
      <c r="AC1652" s="557" t="str">
        <f>IF(VLOOKUP(F1652,NXT!$C$35:$C$411,1,0)=F1652,"","x")</f>
        <v/>
      </c>
      <c r="AD1652" s="557"/>
      <c r="AE1652" s="211"/>
      <c r="AF1652" s="211"/>
      <c r="AG1652" s="211"/>
    </row>
    <row r="1653" spans="1:33" s="211" customFormat="1" ht="15.75" customHeight="1">
      <c r="A1653" s="204" t="str">
        <f>IF(B1653&lt;&gt;"",IF(AND(B1653&gt;=_TM1,B1653&lt;=_TM2,OR(TH!L1772="1111",TH!M1772="1111")),TH!D1772,""),"")</f>
        <v/>
      </c>
      <c r="B1653" s="36">
        <f t="shared" si="76"/>
        <v>11</v>
      </c>
      <c r="C1653" s="184">
        <f t="shared" si="75"/>
        <v>42683</v>
      </c>
      <c r="D1653" s="184" t="s">
        <v>1136</v>
      </c>
      <c r="E1653" s="191">
        <v>42683</v>
      </c>
      <c r="F1653" s="40" t="s">
        <v>1399</v>
      </c>
      <c r="G1653" s="456" t="s">
        <v>1394</v>
      </c>
      <c r="H1653" s="193" t="s">
        <v>1395</v>
      </c>
      <c r="I1653" s="257">
        <v>42</v>
      </c>
      <c r="J1653" s="257">
        <v>26344</v>
      </c>
      <c r="K1653" s="38">
        <f>ROUND(I1653*J1653,0)</f>
        <v>1106448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57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1"/>
      <c r="AC1653" s="557" t="str">
        <f>IF(VLOOKUP(F1653,NXT!$C$35:$C$411,1,0)=F1653,"","x")</f>
        <v/>
      </c>
    </row>
    <row r="1654" spans="1:33" s="211" customFormat="1" ht="15.75" customHeight="1">
      <c r="A1654" s="204" t="str">
        <f>IF(B1654&lt;&gt;"",IF(AND(B1654&gt;=_TM1,B1654&lt;=_TM2,OR(TH!L1773="1111",TH!M1773="1111")),TH!D1773,""),"")</f>
        <v/>
      </c>
      <c r="B1654" s="36">
        <f t="shared" si="76"/>
        <v>11</v>
      </c>
      <c r="C1654" s="184">
        <f t="shared" si="75"/>
        <v>42683</v>
      </c>
      <c r="D1654" s="184" t="s">
        <v>1136</v>
      </c>
      <c r="E1654" s="191">
        <v>42683</v>
      </c>
      <c r="F1654" s="40" t="s">
        <v>1400</v>
      </c>
      <c r="G1654" s="456" t="s">
        <v>1394</v>
      </c>
      <c r="H1654" s="193" t="s">
        <v>1395</v>
      </c>
      <c r="I1654" s="257">
        <v>164</v>
      </c>
      <c r="J1654" s="257">
        <v>1296</v>
      </c>
      <c r="K1654" s="38">
        <f>ROUND(I1654*J1654,0)</f>
        <v>212544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57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1"/>
      <c r="AC1654" s="557" t="str">
        <f>IF(VLOOKUP(F1654,NXT!$C$35:$C$411,1,0)=F1654,"","x")</f>
        <v/>
      </c>
      <c r="AD1654" s="557"/>
    </row>
    <row r="1655" spans="1:33" s="211" customFormat="1" ht="15.75" customHeight="1">
      <c r="A1655" s="204" t="str">
        <f>IF(B1655&lt;&gt;"",IF(AND(B1655&gt;=_TM1,B1655&lt;=_TM2,OR(TH!L1774="1111",TH!M1774="1111")),TH!D1774,""),"")</f>
        <v/>
      </c>
      <c r="B1655" s="36">
        <f t="shared" si="76"/>
        <v>11</v>
      </c>
      <c r="C1655" s="184">
        <f t="shared" si="75"/>
        <v>42683</v>
      </c>
      <c r="D1655" s="184" t="s">
        <v>1136</v>
      </c>
      <c r="E1655" s="191">
        <v>42683</v>
      </c>
      <c r="F1655" s="40" t="s">
        <v>1401</v>
      </c>
      <c r="G1655" s="456" t="s">
        <v>1394</v>
      </c>
      <c r="H1655" s="193" t="s">
        <v>1395</v>
      </c>
      <c r="I1655" s="257">
        <v>123</v>
      </c>
      <c r="J1655" s="257">
        <v>810</v>
      </c>
      <c r="K1655" s="38">
        <f>ROUND(I1655*J1655,0)</f>
        <v>99630</v>
      </c>
      <c r="L1655" s="194" t="s">
        <v>259</v>
      </c>
      <c r="M1655" s="194" t="s">
        <v>174</v>
      </c>
      <c r="N1655" s="52" t="str">
        <f>IF(AND('331-CT'!$E$7=TH!H1655,OR(L1655="331",M1655="331")),"331",IF(AND(OR(L1655="131",M1655="131"),H1655='131-CT'!$E$7),"131",""))</f>
        <v/>
      </c>
      <c r="O1655" s="857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1"/>
      <c r="AC1655" s="557" t="str">
        <f>IF(VLOOKUP(F1655,NXT!$C$35:$C$411,1,0)=F1655,"","x")</f>
        <v/>
      </c>
      <c r="AD1655" s="557"/>
    </row>
    <row r="1656" spans="1:33" s="211" customFormat="1" ht="15.75" customHeight="1">
      <c r="A1656" s="204" t="str">
        <f>IF(B1656&lt;&gt;"",IF(AND(B1656&gt;=_TM1,B1656&lt;=_TM2,OR(TH!L1775="1111",TH!M1775="1111")),TH!D1775,""),"")</f>
        <v/>
      </c>
      <c r="B1656" s="36">
        <f t="shared" si="76"/>
        <v>11</v>
      </c>
      <c r="C1656" s="184">
        <f t="shared" si="75"/>
        <v>42683</v>
      </c>
      <c r="D1656" s="184" t="s">
        <v>1136</v>
      </c>
      <c r="E1656" s="191">
        <v>42683</v>
      </c>
      <c r="F1656" s="40" t="s">
        <v>1285</v>
      </c>
      <c r="G1656" s="456" t="s">
        <v>1394</v>
      </c>
      <c r="H1656" s="193" t="s">
        <v>1395</v>
      </c>
      <c r="I1656" s="257"/>
      <c r="J1656" s="257"/>
      <c r="K1656" s="38">
        <v>327958</v>
      </c>
      <c r="L1656" s="194" t="s">
        <v>259</v>
      </c>
      <c r="M1656" s="194" t="s">
        <v>370</v>
      </c>
      <c r="N1656" s="52" t="str">
        <f>IF(AND('331-CT'!$E$7=TH!H1656,OR(L1656="331",M1656="331")),"331",IF(AND(OR(L1656="131",M1656="131"),H1656='131-CT'!$E$7),"131",""))</f>
        <v/>
      </c>
      <c r="O1656" s="857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1"/>
      <c r="AC1656" s="557"/>
      <c r="AD1656" s="557"/>
    </row>
    <row r="1657" spans="1:33" s="211" customFormat="1" ht="15.75" customHeight="1">
      <c r="A1657" s="204" t="str">
        <f>IF(B1657&lt;&gt;"",IF(AND(B1657&gt;=_TM1,B1657&lt;=_TM2,OR(TH!L1776="1111",TH!M1776="1111")),TH!D1776,""),"")</f>
        <v>GBN</v>
      </c>
      <c r="B1657" s="36">
        <f t="shared" si="76"/>
        <v>11</v>
      </c>
      <c r="C1657" s="184">
        <f t="shared" si="75"/>
        <v>42683</v>
      </c>
      <c r="D1657" s="184" t="s">
        <v>1137</v>
      </c>
      <c r="E1657" s="191">
        <v>42683</v>
      </c>
      <c r="F1657" s="40" t="s">
        <v>1404</v>
      </c>
      <c r="G1657" s="456" t="s">
        <v>1402</v>
      </c>
      <c r="H1657" s="193" t="s">
        <v>1403</v>
      </c>
      <c r="I1657" s="257">
        <v>92</v>
      </c>
      <c r="J1657" s="257">
        <v>13500</v>
      </c>
      <c r="K1657" s="38">
        <f>ROUND(I1657*J1657,0)</f>
        <v>1242000</v>
      </c>
      <c r="L1657" s="194" t="s">
        <v>259</v>
      </c>
      <c r="M1657" s="194" t="s">
        <v>174</v>
      </c>
      <c r="N1657" s="52" t="str">
        <f>IF(AND('331-CT'!$E$7=TH!H1657,OR(L1657="331",M1657="331")),"331",IF(AND(OR(L1657="131",M1657="131"),H1657='131-CT'!$E$7),"131",""))</f>
        <v/>
      </c>
      <c r="O1657" s="857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1"/>
      <c r="AC1657" s="557" t="str">
        <f>IF(VLOOKUP(F1657,NXT!$C$35:$C$411,1,0)=F1657,"","x")</f>
        <v/>
      </c>
      <c r="AD1657" s="557"/>
    </row>
    <row r="1658" spans="1:33" s="211" customFormat="1" ht="15.75" customHeight="1">
      <c r="A1658" s="204" t="str">
        <f>IF(B1658&lt;&gt;"",IF(AND(B1658&gt;=_TM1,B1658&lt;=_TM2,OR(TH!L1777="1111",TH!M1777="1111")),TH!D1777,""),"")</f>
        <v/>
      </c>
      <c r="B1658" s="36">
        <f t="shared" si="76"/>
        <v>11</v>
      </c>
      <c r="C1658" s="184">
        <f t="shared" si="75"/>
        <v>42683</v>
      </c>
      <c r="D1658" s="184" t="s">
        <v>1137</v>
      </c>
      <c r="E1658" s="191">
        <v>42683</v>
      </c>
      <c r="F1658" s="40" t="s">
        <v>1405</v>
      </c>
      <c r="G1658" s="456" t="s">
        <v>1402</v>
      </c>
      <c r="H1658" s="193" t="s">
        <v>1403</v>
      </c>
      <c r="I1658" s="257">
        <v>52</v>
      </c>
      <c r="J1658" s="257">
        <v>13500</v>
      </c>
      <c r="K1658" s="38">
        <f>ROUND(I1658*J1658,0)</f>
        <v>702000</v>
      </c>
      <c r="L1658" s="194" t="s">
        <v>259</v>
      </c>
      <c r="M1658" s="194" t="s">
        <v>174</v>
      </c>
      <c r="N1658" s="52" t="str">
        <f>IF(AND('331-CT'!$E$7=TH!H1658,OR(L1658="331",M1658="331")),"331",IF(AND(OR(L1658="131",M1658="131"),H1658='131-CT'!$E$7),"131",""))</f>
        <v/>
      </c>
      <c r="O1658" s="857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1"/>
      <c r="AC1658" s="557" t="str">
        <f>IF(VLOOKUP(F1658,NXT!$C$35:$C$411,1,0)=F1658,"","x")</f>
        <v/>
      </c>
      <c r="AD1658" s="557"/>
    </row>
    <row r="1659" spans="1:33" s="211" customFormat="1" ht="15.75" customHeight="1">
      <c r="A1659" s="204" t="str">
        <f>IF(B1659&lt;&gt;"",IF(AND(B1659&gt;=_TM1,B1659&lt;=_TM2,OR(TH!L1778="1111",TH!M1778="1111")),TH!D1778,""),"")</f>
        <v/>
      </c>
      <c r="B1659" s="36">
        <f t="shared" si="76"/>
        <v>11</v>
      </c>
      <c r="C1659" s="184">
        <f t="shared" si="75"/>
        <v>42683</v>
      </c>
      <c r="D1659" s="184" t="s">
        <v>1137</v>
      </c>
      <c r="E1659" s="191">
        <v>42683</v>
      </c>
      <c r="F1659" s="40" t="s">
        <v>1406</v>
      </c>
      <c r="G1659" s="456" t="s">
        <v>1402</v>
      </c>
      <c r="H1659" s="193" t="s">
        <v>1403</v>
      </c>
      <c r="I1659" s="257">
        <v>192</v>
      </c>
      <c r="J1659" s="257">
        <v>13500</v>
      </c>
      <c r="K1659" s="38">
        <f>ROUND(I1659*J1659,0)</f>
        <v>2592000</v>
      </c>
      <c r="L1659" s="194" t="s">
        <v>259</v>
      </c>
      <c r="M1659" s="194" t="s">
        <v>174</v>
      </c>
      <c r="N1659" s="52" t="str">
        <f>IF(AND('331-CT'!$E$7=TH!H1659,OR(L1659="331",M1659="331")),"331",IF(AND(OR(L1659="131",M1659="131"),H1659='131-CT'!$E$7),"131",""))</f>
        <v/>
      </c>
      <c r="O1659" s="857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1"/>
      <c r="AC1659" s="557" t="str">
        <f>IF(VLOOKUP(F1659,NXT!$C$35:$C$411,1,0)=F1659,"","x")</f>
        <v/>
      </c>
      <c r="AD1659" s="557"/>
    </row>
    <row r="1660" spans="1:33" s="211" customFormat="1" ht="15.75" customHeight="1">
      <c r="A1660" s="204" t="str">
        <f>IF(B1660&lt;&gt;"",IF(AND(B1660&gt;=_TM1,B1660&lt;=_TM2,OR(TH!L1779="1111",TH!M1779="1111")),TH!D1779,""),"")</f>
        <v/>
      </c>
      <c r="B1660" s="36">
        <f t="shared" si="76"/>
        <v>11</v>
      </c>
      <c r="C1660" s="184">
        <f t="shared" si="75"/>
        <v>42683</v>
      </c>
      <c r="D1660" s="184" t="s">
        <v>1137</v>
      </c>
      <c r="E1660" s="191">
        <v>42683</v>
      </c>
      <c r="F1660" s="40" t="s">
        <v>1285</v>
      </c>
      <c r="G1660" s="456" t="s">
        <v>1402</v>
      </c>
      <c r="H1660" s="193" t="s">
        <v>1403</v>
      </c>
      <c r="I1660" s="257"/>
      <c r="J1660" s="257"/>
      <c r="K1660" s="38">
        <v>453600</v>
      </c>
      <c r="L1660" s="194" t="s">
        <v>259</v>
      </c>
      <c r="M1660" s="194" t="s">
        <v>370</v>
      </c>
      <c r="N1660" s="52" t="str">
        <f>IF(AND('331-CT'!$E$7=TH!H1660,OR(L1660="331",M1660="331")),"331",IF(AND(OR(L1660="131",M1660="131"),H1660='131-CT'!$E$7),"131",""))</f>
        <v/>
      </c>
      <c r="O1660" s="857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1"/>
      <c r="AC1660" s="557"/>
      <c r="AD1660" s="557"/>
    </row>
    <row r="1661" spans="1:33" s="211" customFormat="1" ht="15.75" customHeight="1">
      <c r="A1661" s="204">
        <f>IF(B1661&lt;&gt;"",IF(AND(B1661&gt;=_TM1,B1661&lt;=_TM2,OR(TH!L1780="1111",TH!M1780="1111")),TH!D1780,""),"")</f>
        <v>0</v>
      </c>
      <c r="B1661" s="36">
        <f t="shared" si="76"/>
        <v>11</v>
      </c>
      <c r="C1661" s="184">
        <f t="shared" si="75"/>
        <v>42683</v>
      </c>
      <c r="D1661" s="184" t="s">
        <v>1138</v>
      </c>
      <c r="E1661" s="191">
        <v>42683</v>
      </c>
      <c r="F1661" s="40" t="s">
        <v>1409</v>
      </c>
      <c r="G1661" s="456" t="s">
        <v>1407</v>
      </c>
      <c r="H1661" s="193" t="s">
        <v>1359</v>
      </c>
      <c r="I1661" s="257">
        <v>364</v>
      </c>
      <c r="J1661" s="257">
        <v>13600</v>
      </c>
      <c r="K1661" s="38">
        <f>ROUND(I1661*J1661,0)</f>
        <v>4950400</v>
      </c>
      <c r="L1661" s="194" t="s">
        <v>259</v>
      </c>
      <c r="M1661" s="194" t="s">
        <v>174</v>
      </c>
      <c r="N1661" s="52" t="str">
        <f>IF(AND('331-CT'!$E$7=TH!H1661,OR(L1661="331",M1661="331")),"331",IF(AND(OR(L1661="131",M1661="131"),H1661='131-CT'!$E$7),"131",""))</f>
        <v/>
      </c>
      <c r="O1661" s="857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1"/>
      <c r="AC1661" s="557" t="str">
        <f>IF(VLOOKUP(F1661,NXT!$C$35:$C$411,1,0)=F1661,"","x")</f>
        <v/>
      </c>
      <c r="AD1661" s="557"/>
    </row>
    <row r="1662" spans="1:33" s="211" customFormat="1" ht="15.75" customHeight="1">
      <c r="A1662" s="204" t="str">
        <f>IF(B1662&lt;&gt;"",IF(AND(B1662&gt;=_TM1,B1662&lt;=_TM2,OR(TH!L1781="1111",TH!M1781="1111")),TH!D1781,""),"")</f>
        <v/>
      </c>
      <c r="B1662" s="36">
        <f t="shared" si="76"/>
        <v>11</v>
      </c>
      <c r="C1662" s="184">
        <f t="shared" si="75"/>
        <v>42683</v>
      </c>
      <c r="D1662" s="184" t="s">
        <v>1138</v>
      </c>
      <c r="E1662" s="191">
        <v>42683</v>
      </c>
      <c r="F1662" s="40" t="s">
        <v>1410</v>
      </c>
      <c r="G1662" s="456" t="s">
        <v>1407</v>
      </c>
      <c r="H1662" s="193" t="s">
        <v>1359</v>
      </c>
      <c r="I1662" s="257">
        <v>20</v>
      </c>
      <c r="J1662" s="257">
        <v>11800</v>
      </c>
      <c r="K1662" s="38">
        <f>ROUND(I1662*J1662,0)</f>
        <v>236000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57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1"/>
      <c r="AC1662" s="557" t="str">
        <f>IF(VLOOKUP(F1662,NXT!$C$35:$C$411,1,0)=F1662,"","x")</f>
        <v/>
      </c>
      <c r="AD1662" s="557"/>
    </row>
    <row r="1663" spans="1:33" s="211" customFormat="1" ht="15.75" customHeight="1">
      <c r="A1663" s="204" t="str">
        <f>IF(B1663&lt;&gt;"",IF(AND(B1663&gt;=_TM1,B1663&lt;=_TM2,OR(TH!L1782="1111",TH!M1782="1111")),TH!D1782,""),"")</f>
        <v/>
      </c>
      <c r="B1663" s="36">
        <f t="shared" si="76"/>
        <v>11</v>
      </c>
      <c r="C1663" s="184">
        <f t="shared" si="75"/>
        <v>42683</v>
      </c>
      <c r="D1663" s="184" t="s">
        <v>1138</v>
      </c>
      <c r="E1663" s="191">
        <v>42683</v>
      </c>
      <c r="F1663" s="943" t="s">
        <v>1285</v>
      </c>
      <c r="G1663" s="456" t="s">
        <v>1407</v>
      </c>
      <c r="H1663" s="193" t="s">
        <v>1359</v>
      </c>
      <c r="I1663" s="257"/>
      <c r="J1663" s="257"/>
      <c r="K1663" s="38">
        <v>518640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57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1"/>
      <c r="AC1663" s="557"/>
    </row>
    <row r="1664" spans="1:33" s="211" customFormat="1" ht="15.75" customHeight="1">
      <c r="A1664" s="204" t="str">
        <f>IF(B1664&lt;&gt;"",IF(AND(B1664&gt;=_TM1,B1664&lt;=_TM2,OR(TH!L500="1111",TH!M500="1111")),TH!D500,""),"")</f>
        <v/>
      </c>
      <c r="B1664" s="36">
        <f t="shared" si="76"/>
        <v>11</v>
      </c>
      <c r="C1664" s="184">
        <f t="shared" si="75"/>
        <v>42684</v>
      </c>
      <c r="D1664" s="184" t="s">
        <v>695</v>
      </c>
      <c r="E1664" s="191">
        <v>42684</v>
      </c>
      <c r="F1664" s="192" t="s">
        <v>696</v>
      </c>
      <c r="G1664" s="192" t="s">
        <v>332</v>
      </c>
      <c r="H1664" s="193" t="s">
        <v>1292</v>
      </c>
      <c r="I1664" s="256"/>
      <c r="J1664" s="256"/>
      <c r="K1664" s="565">
        <v>5340214</v>
      </c>
      <c r="L1664" s="194" t="s">
        <v>24</v>
      </c>
      <c r="M1664" s="194" t="s">
        <v>259</v>
      </c>
      <c r="N1664" s="52" t="str">
        <f>IF(AND('331-CT'!$E$7=TH!H1664,OR(L1664="331",M1664="331")),"331",IF(AND(OR(L1664="131",M1664="131"),H1664='131-CT'!$E$7),"131",""))</f>
        <v/>
      </c>
      <c r="O1664" s="857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2"/>
      <c r="AC1664" s="557"/>
    </row>
    <row r="1665" spans="1:30" s="211" customFormat="1" ht="15.75" customHeight="1">
      <c r="A1665" s="204" t="str">
        <f>IF(B1665&lt;&gt;"",IF(AND(B1665&gt;=_TM1,B1665&lt;=_TM2,OR(TH!L548="1111",TH!M548="1111")),TH!D548,""),"")</f>
        <v/>
      </c>
      <c r="B1665" s="36">
        <f t="shared" si="76"/>
        <v>11</v>
      </c>
      <c r="C1665" s="184">
        <f t="shared" si="75"/>
        <v>42684</v>
      </c>
      <c r="D1665" s="184" t="s">
        <v>699</v>
      </c>
      <c r="E1665" s="191">
        <v>42684</v>
      </c>
      <c r="F1665" s="752" t="s">
        <v>700</v>
      </c>
      <c r="G1665" s="192" t="s">
        <v>332</v>
      </c>
      <c r="H1665" s="193" t="s">
        <v>1313</v>
      </c>
      <c r="I1665" s="256"/>
      <c r="J1665" s="256"/>
      <c r="K1665" s="565">
        <v>5000000</v>
      </c>
      <c r="L1665" s="194" t="s">
        <v>47</v>
      </c>
      <c r="M1665" s="566" t="s">
        <v>24</v>
      </c>
      <c r="N1665" s="52" t="str">
        <f>IF(AND('331-CT'!$E$7=TH!H1665,OR(L1665="331",M1665="331")),"331",IF(AND(OR(L1665="131",M1665="131"),H1665='131-CT'!$E$7),"131",""))</f>
        <v/>
      </c>
      <c r="O1665" s="857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2"/>
      <c r="AC1665" s="557"/>
      <c r="AD1665" s="557"/>
    </row>
    <row r="1666" spans="1:30" s="211" customFormat="1" ht="15.75" customHeight="1">
      <c r="A1666" s="204" t="str">
        <f>IF(B1666&lt;&gt;"",IF(AND(B1666&gt;=_TM1,B1666&lt;=_TM2,OR(TH!L630="1111",TH!M630="1111")),TH!D630,""),"")</f>
        <v/>
      </c>
      <c r="B1666" s="36">
        <f t="shared" si="76"/>
        <v>11</v>
      </c>
      <c r="C1666" s="184">
        <f t="shared" si="75"/>
        <v>42684</v>
      </c>
      <c r="D1666" s="184" t="s">
        <v>699</v>
      </c>
      <c r="E1666" s="191">
        <v>42684</v>
      </c>
      <c r="F1666" s="189" t="s">
        <v>1321</v>
      </c>
      <c r="G1666" s="192" t="s">
        <v>1318</v>
      </c>
      <c r="H1666" s="193" t="s">
        <v>1545</v>
      </c>
      <c r="I1666" s="256"/>
      <c r="J1666" s="256"/>
      <c r="K1666" s="565">
        <v>50000000</v>
      </c>
      <c r="L1666" s="566" t="s">
        <v>24</v>
      </c>
      <c r="M1666" s="566" t="s">
        <v>790</v>
      </c>
      <c r="N1666" s="52" t="str">
        <f>IF(AND('331-CT'!$E$7=TH!H1666,OR(L1666="331",M1666="331")),"331",IF(AND(OR(L1666="131",M1666="131"),H1666='131-CT'!$E$7),"131",""))</f>
        <v/>
      </c>
      <c r="O1666" s="857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>x</v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2"/>
      <c r="AC1666" s="557"/>
      <c r="AD1666" s="557"/>
    </row>
    <row r="1667" spans="1:30" s="211" customFormat="1" ht="15.75" customHeight="1">
      <c r="A1667" s="204" t="str">
        <f>IF(B1667&lt;&gt;"",IF(AND(B1667&gt;=_TM1,B1667&lt;=_TM2,OR(TH!L631="1111",TH!M631="1111")),TH!D631,""),"")</f>
        <v/>
      </c>
      <c r="B1667" s="36">
        <f t="shared" si="76"/>
        <v>11</v>
      </c>
      <c r="C1667" s="184">
        <f t="shared" si="75"/>
        <v>42684</v>
      </c>
      <c r="D1667" s="184" t="s">
        <v>699</v>
      </c>
      <c r="E1667" s="191">
        <v>42684</v>
      </c>
      <c r="F1667" s="189" t="s">
        <v>701</v>
      </c>
      <c r="G1667" s="192" t="s">
        <v>1318</v>
      </c>
      <c r="H1667" s="7"/>
      <c r="I1667" s="256"/>
      <c r="J1667" s="256"/>
      <c r="K1667" s="565">
        <v>50000000</v>
      </c>
      <c r="L1667" s="566" t="s">
        <v>8</v>
      </c>
      <c r="M1667" s="566" t="s">
        <v>24</v>
      </c>
      <c r="N1667" s="52" t="str">
        <f>IF(AND('331-CT'!$E$7=TH!H1667,OR(L1667="331",M1667="331")),"331",IF(AND(OR(L1667="131",M1667="131"),H1667='131-CT'!$E$7),"131",""))</f>
        <v/>
      </c>
      <c r="O1667" s="857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>x</v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2"/>
      <c r="AC1667" s="557"/>
      <c r="AD1667" s="557"/>
    </row>
    <row r="1668" spans="1:30" s="211" customFormat="1" ht="15.75" customHeight="1">
      <c r="A1668" s="204" t="str">
        <f>IF(B1668&lt;&gt;"",IF(AND(B1668&gt;=_TM1,B1668&lt;=_TM2,OR(TH!L632="1111",TH!M632="1111")),TH!D632,""),"")</f>
        <v/>
      </c>
      <c r="B1668" s="36">
        <f t="shared" si="76"/>
        <v>11</v>
      </c>
      <c r="C1668" s="184">
        <f t="shared" ref="C1668:C1731" si="82">E1668</f>
        <v>42684</v>
      </c>
      <c r="D1668" s="184" t="s">
        <v>699</v>
      </c>
      <c r="E1668" s="191">
        <v>42684</v>
      </c>
      <c r="F1668" s="192" t="s">
        <v>702</v>
      </c>
      <c r="G1668" s="192" t="s">
        <v>1318</v>
      </c>
      <c r="H1668" s="7"/>
      <c r="I1668" s="256"/>
      <c r="J1668" s="256"/>
      <c r="K1668" s="565">
        <v>20000</v>
      </c>
      <c r="L1668" s="566" t="s">
        <v>83</v>
      </c>
      <c r="M1668" s="566" t="s">
        <v>24</v>
      </c>
      <c r="N1668" s="52" t="str">
        <f>IF(AND('331-CT'!$E$7=TH!H1668,OR(L1668="331",M1668="331")),"331",IF(AND(OR(L1668="131",M1668="131"),H1668='131-CT'!$E$7),"131",""))</f>
        <v/>
      </c>
      <c r="O1668" s="857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>x</v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>x</v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2">
        <v>4</v>
      </c>
      <c r="AC1668" s="557"/>
    </row>
    <row r="1669" spans="1:30" s="211" customFormat="1" ht="15.75" customHeight="1">
      <c r="A1669" s="204" t="str">
        <f>IF(B1669&lt;&gt;"",IF(AND(B1669&gt;=_TM1,B1669&lt;=_TM2,OR(TH!L633="1111",TH!M633="1111")),TH!D633,""),"")</f>
        <v/>
      </c>
      <c r="B1669" s="36">
        <f t="shared" si="76"/>
        <v>11</v>
      </c>
      <c r="C1669" s="184">
        <f t="shared" si="82"/>
        <v>42684</v>
      </c>
      <c r="D1669" s="184" t="s">
        <v>699</v>
      </c>
      <c r="E1669" s="191">
        <v>42684</v>
      </c>
      <c r="F1669" s="192" t="s">
        <v>793</v>
      </c>
      <c r="G1669" s="192" t="s">
        <v>1318</v>
      </c>
      <c r="H1669" s="7"/>
      <c r="I1669" s="256"/>
      <c r="J1669" s="256"/>
      <c r="K1669" s="565">
        <v>2000</v>
      </c>
      <c r="L1669" s="194" t="s">
        <v>9</v>
      </c>
      <c r="M1669" s="566" t="s">
        <v>24</v>
      </c>
      <c r="N1669" s="52" t="str">
        <f>IF(AND('331-CT'!$E$7=TH!H1669,OR(L1669="331",M1669="331")),"331",IF(AND(OR(L1669="131",M1669="131"),H1669='131-CT'!$E$7),"131",""))</f>
        <v/>
      </c>
      <c r="O1669" s="857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>x</v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2">
        <v>4</v>
      </c>
      <c r="AC1669" s="557"/>
      <c r="AD1669" s="557"/>
    </row>
    <row r="1670" spans="1:30" s="211" customFormat="1" ht="15.75" customHeight="1">
      <c r="A1670" s="204" t="str">
        <f>IF(B1670&lt;&gt;"",IF(AND(B1670&gt;=_TM1,B1670&lt;=_TM2,OR(TH!L1783="1111",TH!M1783="1111")),TH!D1783,""),"")</f>
        <v/>
      </c>
      <c r="B1670" s="36">
        <f t="shared" si="76"/>
        <v>11</v>
      </c>
      <c r="C1670" s="184">
        <f t="shared" si="82"/>
        <v>42684</v>
      </c>
      <c r="D1670" s="184" t="s">
        <v>1139</v>
      </c>
      <c r="E1670" s="191">
        <v>42684</v>
      </c>
      <c r="F1670" s="40" t="s">
        <v>1411</v>
      </c>
      <c r="G1670" s="456" t="s">
        <v>1408</v>
      </c>
      <c r="H1670" s="7" t="s">
        <v>828</v>
      </c>
      <c r="I1670" s="257">
        <v>200</v>
      </c>
      <c r="J1670" s="257">
        <v>7500</v>
      </c>
      <c r="K1670" s="38">
        <f>ROUND(I1670*J1670,0)</f>
        <v>1500000</v>
      </c>
      <c r="L1670" s="194" t="s">
        <v>259</v>
      </c>
      <c r="M1670" s="194" t="s">
        <v>174</v>
      </c>
      <c r="N1670" s="52" t="str">
        <f>IF(AND('331-CT'!$E$7=TH!H1670,OR(L1670="331",M1670="331")),"331",IF(AND(OR(L1670="131",M1670="131"),H1670='131-CT'!$E$7),"131",""))</f>
        <v/>
      </c>
      <c r="O1670" s="857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1"/>
      <c r="AC1670" s="557" t="str">
        <f>IF(VLOOKUP(F1670,NXT!$C$35:$C$411,1,0)=F1670,"","x")</f>
        <v/>
      </c>
      <c r="AD1670" s="557"/>
    </row>
    <row r="1671" spans="1:30" s="211" customFormat="1" ht="15.75" customHeight="1">
      <c r="A1671" s="204" t="str">
        <f>IF(B1671&lt;&gt;"",IF(AND(B1671&gt;=_TM1,B1671&lt;=_TM2,OR(TH!L1784="1111",TH!M1784="1111")),TH!D1784,""),"")</f>
        <v/>
      </c>
      <c r="B1671" s="36">
        <f t="shared" ref="B1671:B1734" si="83">IF(C1671&lt;&gt;"",MONTH(C1671),"")</f>
        <v>11</v>
      </c>
      <c r="C1671" s="184">
        <f t="shared" si="82"/>
        <v>42684</v>
      </c>
      <c r="D1671" s="184" t="s">
        <v>1139</v>
      </c>
      <c r="E1671" s="191">
        <v>42684</v>
      </c>
      <c r="F1671" s="40" t="s">
        <v>1285</v>
      </c>
      <c r="G1671" s="456" t="s">
        <v>1408</v>
      </c>
      <c r="H1671" s="7" t="s">
        <v>828</v>
      </c>
      <c r="I1671" s="257"/>
      <c r="J1671" s="257"/>
      <c r="K1671" s="38">
        <v>150000</v>
      </c>
      <c r="L1671" s="194" t="s">
        <v>259</v>
      </c>
      <c r="M1671" s="194" t="s">
        <v>370</v>
      </c>
      <c r="N1671" s="52" t="str">
        <f>IF(AND('331-CT'!$E$7=TH!H1671,OR(L1671="331",M1671="331")),"331",IF(AND(OR(L1671="131",M1671="131"),H1671='131-CT'!$E$7),"131",""))</f>
        <v/>
      </c>
      <c r="O1671" s="857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1"/>
      <c r="AC1671" s="557"/>
      <c r="AD1671" s="557"/>
    </row>
    <row r="1672" spans="1:30" s="211" customFormat="1" ht="15.75" customHeight="1">
      <c r="A1672" s="204" t="str">
        <f>IF(B1672&lt;&gt;"",IF(AND(B1672&gt;=_TM1,B1672&lt;=_TM2,OR(TH!L1785="1111",TH!M1785="1111")),TH!D1785,""),"")</f>
        <v/>
      </c>
      <c r="B1672" s="36">
        <f t="shared" si="83"/>
        <v>11</v>
      </c>
      <c r="C1672" s="184">
        <f t="shared" si="82"/>
        <v>42684</v>
      </c>
      <c r="D1672" s="184" t="s">
        <v>1140</v>
      </c>
      <c r="E1672" s="191">
        <v>42684</v>
      </c>
      <c r="F1672" s="40" t="s">
        <v>1413</v>
      </c>
      <c r="G1672" s="456" t="s">
        <v>1412</v>
      </c>
      <c r="H1672" s="193" t="s">
        <v>1359</v>
      </c>
      <c r="I1672" s="257">
        <v>300</v>
      </c>
      <c r="J1672" s="257">
        <v>7300</v>
      </c>
      <c r="K1672" s="38">
        <f>ROUND(I1672*J1672,0)</f>
        <v>2190000</v>
      </c>
      <c r="L1672" s="194" t="s">
        <v>259</v>
      </c>
      <c r="M1672" s="194" t="s">
        <v>174</v>
      </c>
      <c r="N1672" s="52" t="str">
        <f>IF(AND('331-CT'!$E$7=TH!H1672,OR(L1672="331",M1672="331")),"331",IF(AND(OR(L1672="131",M1672="131"),H1672='131-CT'!$E$7),"131",""))</f>
        <v/>
      </c>
      <c r="O1672" s="857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1"/>
      <c r="AC1672" s="557" t="str">
        <f>IF(VLOOKUP(F1672,NXT!$C$35:$C$411,1,0)=F1672,"","x")</f>
        <v/>
      </c>
      <c r="AD1672" s="557"/>
    </row>
    <row r="1673" spans="1:30" s="211" customFormat="1" ht="15.75" customHeight="1">
      <c r="A1673" s="204" t="str">
        <f>IF(B1673&lt;&gt;"",IF(AND(B1673&gt;=_TM1,B1673&lt;=_TM2,OR(TH!L1786="1111",TH!M1786="1111")),TH!D1786,""),"")</f>
        <v/>
      </c>
      <c r="B1673" s="36">
        <f t="shared" si="83"/>
        <v>11</v>
      </c>
      <c r="C1673" s="184">
        <f t="shared" si="82"/>
        <v>42684</v>
      </c>
      <c r="D1673" s="184" t="s">
        <v>1140</v>
      </c>
      <c r="E1673" s="191">
        <v>42684</v>
      </c>
      <c r="F1673" s="40" t="s">
        <v>1414</v>
      </c>
      <c r="G1673" s="456" t="s">
        <v>1412</v>
      </c>
      <c r="H1673" s="193" t="s">
        <v>1359</v>
      </c>
      <c r="I1673" s="257">
        <v>35</v>
      </c>
      <c r="J1673" s="257">
        <v>13200</v>
      </c>
      <c r="K1673" s="38">
        <f>ROUND(I1673*J1673,0)</f>
        <v>462000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57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1"/>
      <c r="AC1673" s="557" t="str">
        <f>IF(VLOOKUP(F1673,NXT!$C$35:$C$411,1,0)=F1673,"","x")</f>
        <v/>
      </c>
      <c r="AD1673" s="557"/>
    </row>
    <row r="1674" spans="1:30" s="211" customFormat="1" ht="15.75" customHeight="1">
      <c r="A1674" s="204" t="str">
        <f>IF(B1674&lt;&gt;"",IF(AND(B1674&gt;=_TM1,B1674&lt;=_TM2,OR(TH!L1787="1111",TH!M1787="1111")),TH!D1787,""),"")</f>
        <v/>
      </c>
      <c r="B1674" s="36">
        <f t="shared" si="83"/>
        <v>11</v>
      </c>
      <c r="C1674" s="184">
        <f t="shared" si="82"/>
        <v>42684</v>
      </c>
      <c r="D1674" s="184" t="s">
        <v>1140</v>
      </c>
      <c r="E1674" s="191">
        <v>42684</v>
      </c>
      <c r="F1674" s="40" t="s">
        <v>1415</v>
      </c>
      <c r="G1674" s="456" t="s">
        <v>1412</v>
      </c>
      <c r="H1674" s="193" t="s">
        <v>1359</v>
      </c>
      <c r="I1674" s="257">
        <v>37</v>
      </c>
      <c r="J1674" s="257">
        <v>25200</v>
      </c>
      <c r="K1674" s="38">
        <f>ROUND(I1674*J1674,0)</f>
        <v>932400</v>
      </c>
      <c r="L1674" s="194" t="s">
        <v>259</v>
      </c>
      <c r="M1674" s="194" t="s">
        <v>174</v>
      </c>
      <c r="N1674" s="52" t="str">
        <f>IF(AND('331-CT'!$E$7=TH!H1674,OR(L1674="331",M1674="331")),"331",IF(AND(OR(L1674="131",M1674="131"),H1674='131-CT'!$E$7),"131",""))</f>
        <v/>
      </c>
      <c r="O1674" s="857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1"/>
      <c r="AC1674" s="557" t="str">
        <f>IF(VLOOKUP(F1674,NXT!$C$35:$C$411,1,0)=F1674,"","x")</f>
        <v/>
      </c>
      <c r="AD1674" s="557"/>
    </row>
    <row r="1675" spans="1:30" s="211" customFormat="1" ht="15.75" customHeight="1">
      <c r="A1675" s="204" t="str">
        <f>IF(B1675&lt;&gt;"",IF(AND(B1675&gt;=_TM1,B1675&lt;=_TM2,OR(TH!L1788="1111",TH!M1788="1111")),TH!D1788,""),"")</f>
        <v/>
      </c>
      <c r="B1675" s="36">
        <f t="shared" si="83"/>
        <v>11</v>
      </c>
      <c r="C1675" s="184">
        <f t="shared" si="82"/>
        <v>42684</v>
      </c>
      <c r="D1675" s="184" t="s">
        <v>1140</v>
      </c>
      <c r="E1675" s="191">
        <v>42684</v>
      </c>
      <c r="F1675" s="40" t="s">
        <v>1416</v>
      </c>
      <c r="G1675" s="456" t="s">
        <v>1412</v>
      </c>
      <c r="H1675" s="193" t="s">
        <v>1359</v>
      </c>
      <c r="I1675" s="257">
        <v>85</v>
      </c>
      <c r="J1675" s="257">
        <v>12600</v>
      </c>
      <c r="K1675" s="38">
        <f>ROUND(I1675*J1675,0)</f>
        <v>1071000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57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1"/>
      <c r="AC1675" s="557" t="str">
        <f>IF(VLOOKUP(F1675,NXT!$C$35:$C$411,1,0)=F1675,"","x")</f>
        <v/>
      </c>
    </row>
    <row r="1676" spans="1:30" s="211" customFormat="1" ht="15.75" customHeight="1">
      <c r="A1676" s="204" t="str">
        <f>IF(B1676&lt;&gt;"",IF(AND(B1676&gt;=_TM1,B1676&lt;=_TM2,OR(TH!L1789="1111",TH!M1789="1111")),TH!D1789,""),"")</f>
        <v/>
      </c>
      <c r="B1676" s="36">
        <f t="shared" si="83"/>
        <v>11</v>
      </c>
      <c r="C1676" s="184">
        <f t="shared" si="82"/>
        <v>42684</v>
      </c>
      <c r="D1676" s="184" t="s">
        <v>1140</v>
      </c>
      <c r="E1676" s="191">
        <v>42684</v>
      </c>
      <c r="F1676" s="40" t="s">
        <v>1285</v>
      </c>
      <c r="G1676" s="456" t="s">
        <v>1412</v>
      </c>
      <c r="H1676" s="193" t="s">
        <v>1359</v>
      </c>
      <c r="I1676" s="257"/>
      <c r="J1676" s="257"/>
      <c r="K1676" s="38">
        <v>465540</v>
      </c>
      <c r="L1676" s="194" t="s">
        <v>259</v>
      </c>
      <c r="M1676" s="194" t="s">
        <v>370</v>
      </c>
      <c r="N1676" s="52" t="str">
        <f>IF(AND('331-CT'!$E$7=TH!H1676,OR(L1676="331",M1676="331")),"331",IF(AND(OR(L1676="131",M1676="131"),H1676='131-CT'!$E$7),"131",""))</f>
        <v/>
      </c>
      <c r="O1676" s="857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1"/>
      <c r="AC1676" s="557"/>
      <c r="AD1676" s="557"/>
    </row>
    <row r="1677" spans="1:30" s="211" customFormat="1" ht="15.75" customHeight="1">
      <c r="A1677" s="204" t="str">
        <f>IF(B1677&lt;&gt;"",IF(AND(B1677&gt;=_TM1,B1677&lt;=_TM2,OR(TH!L1790="1111",TH!M1790="1111")),TH!D1790,""),"")</f>
        <v/>
      </c>
      <c r="B1677" s="36">
        <f t="shared" si="83"/>
        <v>11</v>
      </c>
      <c r="C1677" s="184">
        <f t="shared" si="82"/>
        <v>42684</v>
      </c>
      <c r="D1677" s="184" t="s">
        <v>1141</v>
      </c>
      <c r="E1677" s="191">
        <v>42684</v>
      </c>
      <c r="F1677" s="189" t="s">
        <v>1473</v>
      </c>
      <c r="G1677" s="456" t="s">
        <v>1417</v>
      </c>
      <c r="H1677" s="7" t="s">
        <v>645</v>
      </c>
      <c r="I1677" s="257">
        <v>300</v>
      </c>
      <c r="J1677" s="257">
        <v>6400</v>
      </c>
      <c r="K1677" s="38">
        <f>ROUND(I1677*J1677,0)</f>
        <v>1920000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57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1"/>
      <c r="AC1677" s="557" t="str">
        <f>IF(VLOOKUP(F1677,NXT!$C$35:$C$411,1,0)=F1677,"","x")</f>
        <v/>
      </c>
    </row>
    <row r="1678" spans="1:30" s="211" customFormat="1" ht="15.75" customHeight="1">
      <c r="A1678" s="204" t="str">
        <f>IF(B1678&lt;&gt;"",IF(AND(B1678&gt;=_TM1,B1678&lt;=_TM2,OR(TH!L1791="1111",TH!M1791="1111")),TH!D1791,""),"")</f>
        <v/>
      </c>
      <c r="B1678" s="36">
        <f t="shared" si="83"/>
        <v>11</v>
      </c>
      <c r="C1678" s="184">
        <f t="shared" si="82"/>
        <v>42684</v>
      </c>
      <c r="D1678" s="184" t="s">
        <v>1141</v>
      </c>
      <c r="E1678" s="191">
        <v>42684</v>
      </c>
      <c r="F1678" s="40" t="s">
        <v>1285</v>
      </c>
      <c r="G1678" s="456" t="s">
        <v>1417</v>
      </c>
      <c r="H1678" s="7" t="s">
        <v>645</v>
      </c>
      <c r="I1678" s="257"/>
      <c r="J1678" s="257"/>
      <c r="K1678" s="38">
        <v>192000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57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1"/>
      <c r="AC1678" s="557"/>
      <c r="AD1678" s="557"/>
    </row>
    <row r="1679" spans="1:30" s="211" customFormat="1" ht="15.75" customHeight="1">
      <c r="A1679" s="204" t="str">
        <f>IF(B1679&lt;&gt;"",IF(AND(B1679&gt;=_TM1,B1679&lt;=_TM2,OR(TH!L501="1111",TH!M501="1111")),TH!D501,""),"")</f>
        <v/>
      </c>
      <c r="B1679" s="36">
        <f t="shared" si="83"/>
        <v>11</v>
      </c>
      <c r="C1679" s="184">
        <f t="shared" si="82"/>
        <v>42685</v>
      </c>
      <c r="D1679" s="184" t="s">
        <v>695</v>
      </c>
      <c r="E1679" s="191">
        <v>42685</v>
      </c>
      <c r="F1679" s="192" t="s">
        <v>696</v>
      </c>
      <c r="G1679" s="192" t="s">
        <v>332</v>
      </c>
      <c r="H1679" s="7" t="s">
        <v>645</v>
      </c>
      <c r="I1679" s="256"/>
      <c r="J1679" s="256"/>
      <c r="K1679" s="565">
        <v>599500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857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2"/>
      <c r="AC1679" s="557"/>
    </row>
    <row r="1680" spans="1:30" s="211" customFormat="1" ht="15.75" customHeight="1">
      <c r="A1680" s="204">
        <f>IF(B1680&lt;&gt;"",IF(AND(B1680&gt;=_TM1,B1680&lt;=_TM2,OR(TH!L549="1111",TH!M549="1111")),TH!D549,""),"")</f>
        <v>0</v>
      </c>
      <c r="B1680" s="36">
        <f t="shared" si="83"/>
        <v>11</v>
      </c>
      <c r="C1680" s="184">
        <f t="shared" si="82"/>
        <v>42685</v>
      </c>
      <c r="D1680" s="184" t="s">
        <v>699</v>
      </c>
      <c r="E1680" s="191">
        <v>42685</v>
      </c>
      <c r="F1680" s="192" t="s">
        <v>700</v>
      </c>
      <c r="G1680" s="192" t="s">
        <v>332</v>
      </c>
      <c r="H1680" s="193" t="s">
        <v>1313</v>
      </c>
      <c r="I1680" s="256"/>
      <c r="J1680" s="256"/>
      <c r="K1680" s="565">
        <v>5300000</v>
      </c>
      <c r="L1680" s="194" t="s">
        <v>47</v>
      </c>
      <c r="M1680" s="566" t="s">
        <v>24</v>
      </c>
      <c r="N1680" s="52" t="str">
        <f>IF(AND('331-CT'!$E$7=TH!H1680,OR(L1680="331",M1680="331")),"331",IF(AND(OR(L1680="131",M1680="131"),H1680='131-CT'!$E$7),"131",""))</f>
        <v/>
      </c>
      <c r="O1680" s="857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2"/>
      <c r="AC1680" s="557"/>
    </row>
    <row r="1681" spans="1:30" s="211" customFormat="1" ht="15.75" customHeight="1">
      <c r="A1681" s="204" t="str">
        <f>IF(B1681&lt;&gt;"",IF(AND(B1681&gt;=_TM1,B1681&lt;=_TM2,OR(TH!L1792="1111",TH!M1792="1111")),TH!D1792,""),"")</f>
        <v/>
      </c>
      <c r="B1681" s="36">
        <f t="shared" si="83"/>
        <v>11</v>
      </c>
      <c r="C1681" s="184">
        <f t="shared" si="82"/>
        <v>42686</v>
      </c>
      <c r="D1681" s="184" t="s">
        <v>1142</v>
      </c>
      <c r="E1681" s="191">
        <v>42686</v>
      </c>
      <c r="F1681" s="40" t="s">
        <v>1419</v>
      </c>
      <c r="G1681" s="456" t="s">
        <v>1418</v>
      </c>
      <c r="H1681" s="7" t="s">
        <v>429</v>
      </c>
      <c r="I1681" s="257">
        <v>319</v>
      </c>
      <c r="J1681" s="257">
        <v>10200</v>
      </c>
      <c r="K1681" s="38">
        <f>ROUND(I1681*J1681,0)</f>
        <v>3253800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57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1"/>
      <c r="AC1681" s="557" t="str">
        <f>IF(VLOOKUP(F1681,NXT!$C$35:$C$411,1,0)=F1681,"","x")</f>
        <v/>
      </c>
    </row>
    <row r="1682" spans="1:30" s="211" customFormat="1" ht="15.75" customHeight="1">
      <c r="A1682" s="204" t="str">
        <f>IF(B1682&lt;&gt;"",IF(AND(B1682&gt;=_TM1,B1682&lt;=_TM2,OR(TH!L1793="1111",TH!M1793="1111")),TH!D1793,""),"")</f>
        <v/>
      </c>
      <c r="B1682" s="36">
        <f t="shared" si="83"/>
        <v>11</v>
      </c>
      <c r="C1682" s="184">
        <f t="shared" si="82"/>
        <v>42686</v>
      </c>
      <c r="D1682" s="184" t="s">
        <v>1142</v>
      </c>
      <c r="E1682" s="191">
        <v>42686</v>
      </c>
      <c r="F1682" s="40" t="s">
        <v>1285</v>
      </c>
      <c r="G1682" s="456" t="s">
        <v>1418</v>
      </c>
      <c r="H1682" s="7" t="s">
        <v>429</v>
      </c>
      <c r="I1682" s="257"/>
      <c r="J1682" s="257"/>
      <c r="K1682" s="38">
        <v>325380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57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1"/>
      <c r="AC1682" s="557"/>
      <c r="AD1682" s="557"/>
    </row>
    <row r="1683" spans="1:30" s="211" customFormat="1" ht="15.75" customHeight="1">
      <c r="A1683" s="204" t="str">
        <f>IF(B1683&lt;&gt;"",IF(AND(B1683&gt;=_TM1,B1683&lt;=_TM2,OR(TH!L1794="1111",TH!M1794="1111")),TH!D1794,""),"")</f>
        <v/>
      </c>
      <c r="B1683" s="36">
        <f t="shared" si="83"/>
        <v>11</v>
      </c>
      <c r="C1683" s="184">
        <f t="shared" si="82"/>
        <v>42688</v>
      </c>
      <c r="D1683" s="184" t="s">
        <v>1143</v>
      </c>
      <c r="E1683" s="191">
        <v>42688</v>
      </c>
      <c r="F1683" s="40" t="s">
        <v>1286</v>
      </c>
      <c r="G1683" s="456" t="s">
        <v>1420</v>
      </c>
      <c r="H1683" s="7" t="s">
        <v>421</v>
      </c>
      <c r="I1683" s="257">
        <v>980</v>
      </c>
      <c r="J1683" s="257">
        <v>5000</v>
      </c>
      <c r="K1683" s="38">
        <f>ROUND(I1683*J1683,0)</f>
        <v>4900000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57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1"/>
      <c r="AC1683" s="557" t="str">
        <f>IF(VLOOKUP(F1683,NXT!$C$35:$C$411,1,0)=F1683,"","x")</f>
        <v/>
      </c>
      <c r="AD1683" s="557"/>
    </row>
    <row r="1684" spans="1:30" s="211" customFormat="1" ht="15.75" customHeight="1">
      <c r="A1684" s="204">
        <f>IF(B1684&lt;&gt;"",IF(AND(B1684&gt;=_TM1,B1684&lt;=_TM2,OR(TH!L1795="1111",TH!M1795="1111")),TH!D1795,""),"")</f>
        <v>0</v>
      </c>
      <c r="B1684" s="36">
        <f t="shared" si="83"/>
        <v>11</v>
      </c>
      <c r="C1684" s="184">
        <f t="shared" si="82"/>
        <v>42688</v>
      </c>
      <c r="D1684" s="184" t="s">
        <v>1143</v>
      </c>
      <c r="E1684" s="191">
        <v>42688</v>
      </c>
      <c r="F1684" s="40" t="s">
        <v>1287</v>
      </c>
      <c r="G1684" s="456" t="s">
        <v>1420</v>
      </c>
      <c r="H1684" s="7" t="s">
        <v>421</v>
      </c>
      <c r="I1684" s="257">
        <v>1066</v>
      </c>
      <c r="J1684" s="257">
        <v>5550</v>
      </c>
      <c r="K1684" s="38">
        <f>ROUND(I1684*J1684,0)</f>
        <v>5916300</v>
      </c>
      <c r="L1684" s="194" t="s">
        <v>259</v>
      </c>
      <c r="M1684" s="194" t="s">
        <v>174</v>
      </c>
      <c r="N1684" s="52" t="str">
        <f>IF(AND('331-CT'!$E$7=TH!H1684,OR(L1684="331",M1684="331")),"331",IF(AND(OR(L1684="131",M1684="131"),H1684='131-CT'!$E$7),"131",""))</f>
        <v/>
      </c>
      <c r="O1684" s="857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1"/>
      <c r="AC1684" s="557" t="str">
        <f>IF(VLOOKUP(F1684,NXT!$C$35:$C$411,1,0)=F1684,"","x")</f>
        <v/>
      </c>
    </row>
    <row r="1685" spans="1:30" s="211" customFormat="1" ht="15.75" customHeight="1">
      <c r="A1685" s="204" t="str">
        <f>IF(B1685&lt;&gt;"",IF(AND(B1685&gt;=_TM1,B1685&lt;=_TM2,OR(TH!L1796="1111",TH!M1796="1111")),TH!D1796,""),"")</f>
        <v>GBN</v>
      </c>
      <c r="B1685" s="36">
        <f t="shared" si="83"/>
        <v>11</v>
      </c>
      <c r="C1685" s="184">
        <f t="shared" si="82"/>
        <v>42688</v>
      </c>
      <c r="D1685" s="184" t="s">
        <v>1143</v>
      </c>
      <c r="E1685" s="191">
        <v>42688</v>
      </c>
      <c r="F1685" s="40" t="s">
        <v>422</v>
      </c>
      <c r="G1685" s="456" t="s">
        <v>1420</v>
      </c>
      <c r="H1685" s="7" t="s">
        <v>421</v>
      </c>
      <c r="I1685" s="257">
        <v>560</v>
      </c>
      <c r="J1685" s="257">
        <v>5800</v>
      </c>
      <c r="K1685" s="38">
        <f>ROUND(I1685*J1685,0)</f>
        <v>3248000</v>
      </c>
      <c r="L1685" s="194" t="s">
        <v>259</v>
      </c>
      <c r="M1685" s="194" t="s">
        <v>174</v>
      </c>
      <c r="N1685" s="52" t="str">
        <f>IF(AND('331-CT'!$E$7=TH!H1685,OR(L1685="331",M1685="331")),"331",IF(AND(OR(L1685="131",M1685="131"),H1685='131-CT'!$E$7),"131",""))</f>
        <v/>
      </c>
      <c r="O1685" s="857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1"/>
      <c r="AC1685" s="557" t="str">
        <f>IF(VLOOKUP(F1685,NXT!$C$35:$C$411,1,0)=F1685,"","x")</f>
        <v/>
      </c>
      <c r="AD1685" s="557"/>
    </row>
    <row r="1686" spans="1:30" s="211" customFormat="1" ht="15.75" customHeight="1">
      <c r="A1686" s="204" t="str">
        <f>IF(B1686&lt;&gt;"",IF(AND(B1686&gt;=_TM1,B1686&lt;=_TM2,OR(TH!L1797="1111",TH!M1797="1111")),TH!D1797,""),"")</f>
        <v/>
      </c>
      <c r="B1686" s="36">
        <f t="shared" si="83"/>
        <v>11</v>
      </c>
      <c r="C1686" s="184">
        <f t="shared" si="82"/>
        <v>42688</v>
      </c>
      <c r="D1686" s="184" t="s">
        <v>1143</v>
      </c>
      <c r="E1686" s="191">
        <v>42688</v>
      </c>
      <c r="F1686" s="40" t="s">
        <v>1285</v>
      </c>
      <c r="G1686" s="456" t="s">
        <v>1420</v>
      </c>
      <c r="H1686" s="7" t="s">
        <v>421</v>
      </c>
      <c r="I1686" s="257"/>
      <c r="J1686" s="257"/>
      <c r="K1686" s="38">
        <v>1406430</v>
      </c>
      <c r="L1686" s="194" t="s">
        <v>259</v>
      </c>
      <c r="M1686" s="194" t="s">
        <v>370</v>
      </c>
      <c r="N1686" s="52" t="str">
        <f>IF(AND('331-CT'!$E$7=TH!H1686,OR(L1686="331",M1686="331")),"331",IF(AND(OR(L1686="131",M1686="131"),H1686='131-CT'!$E$7),"131",""))</f>
        <v/>
      </c>
      <c r="O1686" s="857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1"/>
      <c r="AC1686" s="557"/>
    </row>
    <row r="1687" spans="1:30" s="211" customFormat="1" ht="15.75" customHeight="1">
      <c r="A1687" s="204" t="str">
        <f>IF(B1687&lt;&gt;"",IF(AND(B1687&gt;=_TM1,B1687&lt;=_TM2,OR(TH!L634="1111",TH!M634="1111")),TH!D634,""),"")</f>
        <v/>
      </c>
      <c r="B1687" s="36">
        <f t="shared" si="83"/>
        <v>11</v>
      </c>
      <c r="C1687" s="184">
        <f t="shared" si="82"/>
        <v>42689</v>
      </c>
      <c r="D1687" s="184" t="s">
        <v>699</v>
      </c>
      <c r="E1687" s="191">
        <v>42689</v>
      </c>
      <c r="F1687" s="192" t="s">
        <v>702</v>
      </c>
      <c r="G1687" s="192" t="s">
        <v>1318</v>
      </c>
      <c r="H1687" s="7"/>
      <c r="I1687" s="256"/>
      <c r="J1687" s="256"/>
      <c r="K1687" s="565">
        <v>47000</v>
      </c>
      <c r="L1687" s="566" t="s">
        <v>83</v>
      </c>
      <c r="M1687" s="566" t="s">
        <v>24</v>
      </c>
      <c r="N1687" s="52" t="str">
        <f>IF(AND('331-CT'!$E$7=TH!H1687,OR(L1687="331",M1687="331")),"331",IF(AND(OR(L1687="131",M1687="131"),H1687='131-CT'!$E$7),"131",""))</f>
        <v/>
      </c>
      <c r="O1687" s="857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>x</v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2">
        <v>4</v>
      </c>
      <c r="AC1687" s="557"/>
    </row>
    <row r="1688" spans="1:30" s="211" customFormat="1" ht="15.75" customHeight="1">
      <c r="A1688" s="204" t="str">
        <f>IF(B1688&lt;&gt;"",IF(AND(B1688&gt;=_TM1,B1688&lt;=_TM2,OR(TH!L635="1111",TH!M635="1111")),TH!D635,""),"")</f>
        <v/>
      </c>
      <c r="B1688" s="36">
        <f t="shared" si="83"/>
        <v>11</v>
      </c>
      <c r="C1688" s="184">
        <f t="shared" si="82"/>
        <v>42689</v>
      </c>
      <c r="D1688" s="184" t="s">
        <v>699</v>
      </c>
      <c r="E1688" s="191">
        <v>42689</v>
      </c>
      <c r="F1688" s="752" t="s">
        <v>793</v>
      </c>
      <c r="G1688" s="192" t="s">
        <v>1318</v>
      </c>
      <c r="H1688" s="7"/>
      <c r="I1688" s="256"/>
      <c r="J1688" s="256"/>
      <c r="K1688" s="565">
        <v>4700</v>
      </c>
      <c r="L1688" s="194" t="s">
        <v>9</v>
      </c>
      <c r="M1688" s="566" t="s">
        <v>24</v>
      </c>
      <c r="N1688" s="52" t="str">
        <f>IF(AND('331-CT'!$E$7=TH!H1688,OR(L1688="331",M1688="331")),"331",IF(AND(OR(L1688="131",M1688="131"),H1688='131-CT'!$E$7),"131",""))</f>
        <v/>
      </c>
      <c r="O1688" s="857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>x</v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2">
        <v>4</v>
      </c>
      <c r="AC1688" s="557"/>
      <c r="AD1688" s="557"/>
    </row>
    <row r="1689" spans="1:30" s="211" customFormat="1" ht="15.75" customHeight="1">
      <c r="A1689" s="204" t="str">
        <f>IF(B1689&lt;&gt;"",IF(AND(B1689&gt;=_TM1,B1689&lt;=_TM2,OR(TH!L1798="1111",TH!M1798="1111")),TH!D1798,""),"")</f>
        <v/>
      </c>
      <c r="B1689" s="36">
        <f t="shared" si="83"/>
        <v>11</v>
      </c>
      <c r="C1689" s="184">
        <f t="shared" si="82"/>
        <v>42689</v>
      </c>
      <c r="D1689" s="184" t="s">
        <v>1144</v>
      </c>
      <c r="E1689" s="191">
        <v>42689</v>
      </c>
      <c r="F1689" s="40" t="s">
        <v>1573</v>
      </c>
      <c r="G1689" s="456" t="s">
        <v>1572</v>
      </c>
      <c r="H1689" s="7" t="s">
        <v>1354</v>
      </c>
      <c r="I1689" s="257">
        <v>127</v>
      </c>
      <c r="J1689" s="257">
        <v>19500</v>
      </c>
      <c r="K1689" s="38">
        <f>ROUND(I1689*J1689,0)</f>
        <v>2476500</v>
      </c>
      <c r="L1689" s="194" t="s">
        <v>259</v>
      </c>
      <c r="M1689" s="194" t="s">
        <v>174</v>
      </c>
      <c r="N1689" s="52" t="str">
        <f>IF(AND('331-CT'!$E$7=TH!H1689,OR(L1689="331",M1689="331")),"331",IF(AND(OR(L1689="131",M1689="131"),H1689='131-CT'!$E$7),"131",""))</f>
        <v/>
      </c>
      <c r="O1689" s="857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1"/>
      <c r="AC1689" s="557" t="str">
        <f>IF(VLOOKUP(F1689,NXT!$C$35:$C$411,1,0)=F1689,"","x")</f>
        <v/>
      </c>
      <c r="AD1689" s="557"/>
    </row>
    <row r="1690" spans="1:30" s="211" customFormat="1" ht="15.75" customHeight="1">
      <c r="A1690" s="204" t="str">
        <f>IF(B1690&lt;&gt;"",IF(AND(B1690&gt;=_TM1,B1690&lt;=_TM2,OR(TH!L1799="1111",TH!M1799="1111")),TH!D1799,""),"")</f>
        <v/>
      </c>
      <c r="B1690" s="36">
        <f t="shared" si="83"/>
        <v>11</v>
      </c>
      <c r="C1690" s="184">
        <f t="shared" si="82"/>
        <v>42689</v>
      </c>
      <c r="D1690" s="184" t="s">
        <v>1144</v>
      </c>
      <c r="E1690" s="191">
        <v>42689</v>
      </c>
      <c r="F1690" s="40" t="s">
        <v>1285</v>
      </c>
      <c r="G1690" s="456" t="s">
        <v>1572</v>
      </c>
      <c r="H1690" s="7" t="s">
        <v>1354</v>
      </c>
      <c r="I1690" s="257"/>
      <c r="J1690" s="257"/>
      <c r="K1690" s="38">
        <v>247650</v>
      </c>
      <c r="L1690" s="194" t="s">
        <v>259</v>
      </c>
      <c r="M1690" s="194" t="s">
        <v>370</v>
      </c>
      <c r="N1690" s="52" t="str">
        <f>IF(AND('331-CT'!$E$7=TH!H1690,OR(L1690="331",M1690="331")),"331",IF(AND(OR(L1690="131",M1690="131"),H1690='131-CT'!$E$7),"131",""))</f>
        <v/>
      </c>
      <c r="O1690" s="857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1"/>
      <c r="AC1690" s="557"/>
    </row>
    <row r="1691" spans="1:30" s="211" customFormat="1" ht="15.75" customHeight="1">
      <c r="A1691" s="204" t="s">
        <v>1501</v>
      </c>
      <c r="B1691" s="36">
        <f t="shared" si="83"/>
        <v>11</v>
      </c>
      <c r="C1691" s="184">
        <f t="shared" si="82"/>
        <v>42689</v>
      </c>
      <c r="D1691" s="184" t="s">
        <v>1145</v>
      </c>
      <c r="E1691" s="191">
        <v>42689</v>
      </c>
      <c r="F1691" s="40" t="s">
        <v>1505</v>
      </c>
      <c r="G1691" s="456" t="s">
        <v>1574</v>
      </c>
      <c r="H1691" s="193" t="s">
        <v>1503</v>
      </c>
      <c r="I1691" s="257">
        <v>3900</v>
      </c>
      <c r="J1691" s="257">
        <v>4500</v>
      </c>
      <c r="K1691" s="38">
        <f>ROUND(I1691*J1691,0)</f>
        <v>17550000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57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1"/>
      <c r="AC1691" s="557" t="str">
        <f>IF(VLOOKUP(F1691,NXT!$C$35:$C$411,1,0)=F1691,"","x")</f>
        <v/>
      </c>
    </row>
    <row r="1692" spans="1:30" s="211" customFormat="1" ht="15.75" customHeight="1">
      <c r="A1692" s="204" t="str">
        <f>IF(B1692&lt;&gt;"",IF(AND(B1692&gt;=_TM1,B1692&lt;=_TM2,OR(TH!L1801="1111",TH!M1801="1111")),TH!D1801,""),"")</f>
        <v/>
      </c>
      <c r="B1692" s="36">
        <f t="shared" si="83"/>
        <v>11</v>
      </c>
      <c r="C1692" s="184">
        <f t="shared" si="82"/>
        <v>42689</v>
      </c>
      <c r="D1692" s="184" t="s">
        <v>1145</v>
      </c>
      <c r="E1692" s="191">
        <v>42689</v>
      </c>
      <c r="F1692" s="40" t="s">
        <v>1285</v>
      </c>
      <c r="G1692" s="456" t="s">
        <v>1574</v>
      </c>
      <c r="H1692" s="193" t="s">
        <v>1503</v>
      </c>
      <c r="I1692" s="257"/>
      <c r="J1692" s="257"/>
      <c r="K1692" s="38">
        <v>1755000</v>
      </c>
      <c r="L1692" s="194" t="s">
        <v>259</v>
      </c>
      <c r="M1692" s="194" t="s">
        <v>370</v>
      </c>
      <c r="N1692" s="52" t="str">
        <f>IF(AND('331-CT'!$E$7=TH!H1692,OR(L1692="331",M1692="331")),"331",IF(AND(OR(L1692="131",M1692="131"),H1692='131-CT'!$E$7),"131",""))</f>
        <v/>
      </c>
      <c r="O1692" s="857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1"/>
      <c r="AC1692" s="557"/>
      <c r="AD1692" s="557"/>
    </row>
    <row r="1693" spans="1:30" s="211" customFormat="1" ht="15.75" customHeight="1">
      <c r="A1693" s="204" t="str">
        <f>IF(B1693&lt;&gt;"",IF(AND(B1693&gt;=_TM1,B1693&lt;=_TM2,OR(TH!L1802="1111",TH!M1802="1111")),TH!D1802,""),"")</f>
        <v/>
      </c>
      <c r="B1693" s="36">
        <f t="shared" si="83"/>
        <v>11</v>
      </c>
      <c r="C1693" s="184">
        <f t="shared" si="82"/>
        <v>42689</v>
      </c>
      <c r="D1693" s="184"/>
      <c r="E1693" s="191">
        <v>42689</v>
      </c>
      <c r="F1693" s="40" t="s">
        <v>1504</v>
      </c>
      <c r="G1693" s="456" t="s">
        <v>1574</v>
      </c>
      <c r="H1693" s="193" t="s">
        <v>1503</v>
      </c>
      <c r="I1693" s="257"/>
      <c r="J1693" s="257"/>
      <c r="K1693" s="38">
        <v>19305000</v>
      </c>
      <c r="L1693" s="194" t="s">
        <v>47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857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1"/>
      <c r="AC1693" s="557"/>
      <c r="AD1693" s="557"/>
    </row>
    <row r="1694" spans="1:30" s="211" customFormat="1" ht="15.75" customHeight="1">
      <c r="A1694" s="204" t="str">
        <f>IF(B1694&lt;&gt;"",IF(AND(B1694&gt;=_TM1,B1694&lt;=_TM2,OR(TH!L636="1111",TH!M636="1111")),TH!D636,""),"")</f>
        <v/>
      </c>
      <c r="B1694" s="36">
        <f t="shared" si="83"/>
        <v>11</v>
      </c>
      <c r="C1694" s="184">
        <f t="shared" si="82"/>
        <v>42690</v>
      </c>
      <c r="D1694" s="184" t="s">
        <v>699</v>
      </c>
      <c r="E1694" s="191">
        <v>42690</v>
      </c>
      <c r="F1694" s="189" t="s">
        <v>1493</v>
      </c>
      <c r="G1694" s="192" t="s">
        <v>1318</v>
      </c>
      <c r="H1694" s="193"/>
      <c r="I1694" s="256"/>
      <c r="J1694" s="256"/>
      <c r="K1694" s="565">
        <v>40000</v>
      </c>
      <c r="L1694" s="566" t="s">
        <v>83</v>
      </c>
      <c r="M1694" s="566" t="s">
        <v>24</v>
      </c>
      <c r="N1694" s="52" t="str">
        <f>IF(AND('331-CT'!$E$7=TH!H1694,OR(L1694="331",M1694="331")),"331",IF(AND(OR(L1694="131",M1694="131"),H1694='131-CT'!$E$7),"131",""))</f>
        <v/>
      </c>
      <c r="O1694" s="857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>x</v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2">
        <v>4</v>
      </c>
      <c r="AC1694" s="557"/>
      <c r="AD1694" s="557"/>
    </row>
    <row r="1695" spans="1:30" s="211" customFormat="1" ht="15.75" customHeight="1">
      <c r="A1695" s="204" t="str">
        <f>IF(B1695&lt;&gt;"",IF(AND(B1695&gt;=_TM1,B1695&lt;=_TM2,OR(TH!L637="1111",TH!M637="1111")),TH!D637,""),"")</f>
        <v/>
      </c>
      <c r="B1695" s="36">
        <f t="shared" si="83"/>
        <v>11</v>
      </c>
      <c r="C1695" s="184">
        <f t="shared" si="82"/>
        <v>42690</v>
      </c>
      <c r="D1695" s="184" t="s">
        <v>699</v>
      </c>
      <c r="E1695" s="191">
        <v>42690</v>
      </c>
      <c r="F1695" s="189" t="s">
        <v>1494</v>
      </c>
      <c r="G1695" s="192" t="s">
        <v>1318</v>
      </c>
      <c r="H1695" s="193"/>
      <c r="I1695" s="256"/>
      <c r="J1695" s="256"/>
      <c r="K1695" s="565">
        <v>4000</v>
      </c>
      <c r="L1695" s="194" t="s">
        <v>9</v>
      </c>
      <c r="M1695" s="566" t="s">
        <v>24</v>
      </c>
      <c r="N1695" s="52" t="str">
        <f>IF(AND('331-CT'!$E$7=TH!H1695,OR(L1695="331",M1695="331")),"331",IF(AND(OR(L1695="131",M1695="131"),H1695='131-CT'!$E$7),"131",""))</f>
        <v/>
      </c>
      <c r="O1695" s="857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>x</v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2">
        <v>4</v>
      </c>
      <c r="AC1695" s="557"/>
    </row>
    <row r="1696" spans="1:30" s="211" customFormat="1" ht="15.75" customHeight="1">
      <c r="A1696" s="204" t="str">
        <f>IF(B1696&lt;&gt;"",IF(AND(B1696&gt;=_TM1,B1696&lt;=_TM2,OR(TH!L1803="1111",TH!M1803="1111")),TH!D1803,""),"")</f>
        <v/>
      </c>
      <c r="B1696" s="36">
        <f t="shared" si="83"/>
        <v>11</v>
      </c>
      <c r="C1696" s="184">
        <f t="shared" si="82"/>
        <v>42690</v>
      </c>
      <c r="D1696" s="184" t="s">
        <v>1146</v>
      </c>
      <c r="E1696" s="191">
        <v>42690</v>
      </c>
      <c r="F1696" s="40" t="s">
        <v>1478</v>
      </c>
      <c r="G1696" s="456" t="s">
        <v>1421</v>
      </c>
      <c r="H1696" s="7" t="s">
        <v>645</v>
      </c>
      <c r="I1696" s="257">
        <v>200</v>
      </c>
      <c r="J1696" s="257">
        <v>12000</v>
      </c>
      <c r="K1696" s="38">
        <f>ROUND(I1696*J1696,0)</f>
        <v>2400000</v>
      </c>
      <c r="L1696" s="194" t="s">
        <v>259</v>
      </c>
      <c r="M1696" s="194" t="s">
        <v>174</v>
      </c>
      <c r="N1696" s="52" t="str">
        <f>IF(AND('331-CT'!$E$7=TH!H1696,OR(L1696="331",M1696="331")),"331",IF(AND(OR(L1696="131",M1696="131"),H1696='131-CT'!$E$7),"131",""))</f>
        <v/>
      </c>
      <c r="O1696" s="857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1"/>
      <c r="AC1696" s="557" t="str">
        <f>IF(VLOOKUP(F1696,NXT!$C$35:$C$411,1,0)=F1696,"","x")</f>
        <v/>
      </c>
      <c r="AD1696" s="557"/>
    </row>
    <row r="1697" spans="1:30" s="211" customFormat="1" ht="15.75" customHeight="1">
      <c r="A1697" s="204" t="str">
        <f>IF(B1697&lt;&gt;"",IF(AND(B1697&gt;=_TM1,B1697&lt;=_TM2,OR(TH!L1804="1111",TH!M1804="1111")),TH!D1804,""),"")</f>
        <v/>
      </c>
      <c r="B1697" s="36">
        <f t="shared" si="83"/>
        <v>11</v>
      </c>
      <c r="C1697" s="184">
        <f t="shared" si="82"/>
        <v>42690</v>
      </c>
      <c r="D1697" s="184" t="s">
        <v>1146</v>
      </c>
      <c r="E1697" s="191">
        <v>42690</v>
      </c>
      <c r="F1697" s="40" t="s">
        <v>1285</v>
      </c>
      <c r="G1697" s="456" t="s">
        <v>1421</v>
      </c>
      <c r="H1697" s="7" t="s">
        <v>645</v>
      </c>
      <c r="I1697" s="257"/>
      <c r="J1697" s="257"/>
      <c r="K1697" s="38">
        <v>240000</v>
      </c>
      <c r="L1697" s="194" t="s">
        <v>259</v>
      </c>
      <c r="M1697" s="194" t="s">
        <v>370</v>
      </c>
      <c r="N1697" s="52" t="str">
        <f>IF(AND('331-CT'!$E$7=TH!H1697,OR(L1697="331",M1697="331")),"331",IF(AND(OR(L1697="131",M1697="131"),H1697='131-CT'!$E$7),"131",""))</f>
        <v/>
      </c>
      <c r="O1697" s="857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1"/>
      <c r="AC1697" s="557"/>
    </row>
    <row r="1698" spans="1:30" s="211" customFormat="1" ht="15.75" customHeight="1">
      <c r="A1698" s="204" t="str">
        <f>IF(B1698&lt;&gt;"",IF(AND(B1698&gt;=_TM1,B1698&lt;=_TM2,OR(TH!L1805="1111",TH!M1805="1111")),TH!D1805,""),"")</f>
        <v/>
      </c>
      <c r="B1698" s="36">
        <f t="shared" si="83"/>
        <v>11</v>
      </c>
      <c r="C1698" s="184">
        <f t="shared" si="82"/>
        <v>42691</v>
      </c>
      <c r="D1698" s="184" t="s">
        <v>1147</v>
      </c>
      <c r="E1698" s="191">
        <v>42691</v>
      </c>
      <c r="F1698" s="40" t="s">
        <v>1423</v>
      </c>
      <c r="G1698" s="456" t="s">
        <v>1422</v>
      </c>
      <c r="H1698" s="193" t="s">
        <v>1426</v>
      </c>
      <c r="I1698" s="257">
        <v>509</v>
      </c>
      <c r="J1698" s="257">
        <v>9409</v>
      </c>
      <c r="K1698" s="38">
        <f>ROUND(I1698*J1698,0)</f>
        <v>4789181</v>
      </c>
      <c r="L1698" s="194" t="s">
        <v>259</v>
      </c>
      <c r="M1698" s="194" t="s">
        <v>174</v>
      </c>
      <c r="N1698" s="52" t="str">
        <f>IF(AND('331-CT'!$E$7=TH!H1698,OR(L1698="331",M1698="331")),"331",IF(AND(OR(L1698="131",M1698="131"),H1698='131-CT'!$E$7),"131",""))</f>
        <v/>
      </c>
      <c r="O1698" s="857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1"/>
      <c r="AC1698" s="557" t="str">
        <f>IF(VLOOKUP(F1698,NXT!$C$35:$C$411,1,0)=F1698,"","x")</f>
        <v/>
      </c>
      <c r="AD1698" s="557"/>
    </row>
    <row r="1699" spans="1:30" s="211" customFormat="1" ht="15.75" customHeight="1">
      <c r="A1699" s="204" t="str">
        <f>IF(B1699&lt;&gt;"",IF(AND(B1699&gt;=_TM1,B1699&lt;=_TM2,OR(TH!L1806="1111",TH!M1806="1111")),TH!D1806,""),"")</f>
        <v/>
      </c>
      <c r="B1699" s="36">
        <f t="shared" si="83"/>
        <v>11</v>
      </c>
      <c r="C1699" s="184">
        <f t="shared" si="82"/>
        <v>42691</v>
      </c>
      <c r="D1699" s="184" t="s">
        <v>1147</v>
      </c>
      <c r="E1699" s="191">
        <v>42691</v>
      </c>
      <c r="F1699" s="40" t="s">
        <v>1424</v>
      </c>
      <c r="G1699" s="456" t="s">
        <v>1422</v>
      </c>
      <c r="H1699" s="193" t="s">
        <v>1426</v>
      </c>
      <c r="I1699" s="257">
        <v>208</v>
      </c>
      <c r="J1699" s="257">
        <v>10409</v>
      </c>
      <c r="K1699" s="38">
        <f>ROUND(I1699*J1699,0)</f>
        <v>2165072</v>
      </c>
      <c r="L1699" s="194" t="s">
        <v>259</v>
      </c>
      <c r="M1699" s="194" t="s">
        <v>174</v>
      </c>
      <c r="N1699" s="52" t="str">
        <f>IF(AND('331-CT'!$E$7=TH!H1699,OR(L1699="331",M1699="331")),"331",IF(AND(OR(L1699="131",M1699="131"),H1699='131-CT'!$E$7),"131",""))</f>
        <v/>
      </c>
      <c r="O1699" s="857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1"/>
      <c r="AC1699" s="557" t="str">
        <f>IF(VLOOKUP(F1699,NXT!$C$35:$C$411,1,0)=F1699,"","x")</f>
        <v/>
      </c>
    </row>
    <row r="1700" spans="1:30" s="211" customFormat="1" ht="15.75" customHeight="1">
      <c r="A1700" s="204" t="str">
        <f>IF(B1700&lt;&gt;"",IF(AND(B1700&gt;=_TM1,B1700&lt;=_TM2,OR(TH!L1807="1111",TH!M1807="1111")),TH!D1807,""),"")</f>
        <v/>
      </c>
      <c r="B1700" s="36">
        <f t="shared" si="83"/>
        <v>11</v>
      </c>
      <c r="C1700" s="184">
        <f t="shared" si="82"/>
        <v>42691</v>
      </c>
      <c r="D1700" s="184" t="s">
        <v>1147</v>
      </c>
      <c r="E1700" s="191">
        <v>42691</v>
      </c>
      <c r="F1700" s="40" t="s">
        <v>1425</v>
      </c>
      <c r="G1700" s="456" t="s">
        <v>1422</v>
      </c>
      <c r="H1700" s="193" t="s">
        <v>1426</v>
      </c>
      <c r="I1700" s="257">
        <v>205</v>
      </c>
      <c r="J1700" s="257">
        <v>11400</v>
      </c>
      <c r="K1700" s="38">
        <f>ROUND(I1700*J1700,0)</f>
        <v>2337000</v>
      </c>
      <c r="L1700" s="194" t="s">
        <v>259</v>
      </c>
      <c r="M1700" s="194" t="s">
        <v>174</v>
      </c>
      <c r="N1700" s="52" t="str">
        <f>IF(AND('331-CT'!$E$7=TH!H1700,OR(L1700="331",M1700="331")),"331",IF(AND(OR(L1700="131",M1700="131"),H1700='131-CT'!$E$7),"131",""))</f>
        <v/>
      </c>
      <c r="O1700" s="857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1"/>
      <c r="AC1700" s="557" t="str">
        <f>IF(VLOOKUP(F1700,NXT!$C$35:$C$411,1,0)=F1700,"","x")</f>
        <v/>
      </c>
      <c r="AD1700" s="557"/>
    </row>
    <row r="1701" spans="1:30" s="211" customFormat="1" ht="15.75" customHeight="1">
      <c r="A1701" s="204" t="str">
        <f>IF(B1701&lt;&gt;"",IF(AND(B1701&gt;=_TM1,B1701&lt;=_TM2,OR(TH!L1808="1111",TH!M1808="1111")),TH!D1808,""),"")</f>
        <v/>
      </c>
      <c r="B1701" s="36">
        <f t="shared" si="83"/>
        <v>11</v>
      </c>
      <c r="C1701" s="184">
        <f t="shared" si="82"/>
        <v>42691</v>
      </c>
      <c r="D1701" s="184" t="s">
        <v>1147</v>
      </c>
      <c r="E1701" s="191">
        <v>42691</v>
      </c>
      <c r="F1701" s="40" t="s">
        <v>1285</v>
      </c>
      <c r="G1701" s="456" t="s">
        <v>1422</v>
      </c>
      <c r="H1701" s="193" t="s">
        <v>1426</v>
      </c>
      <c r="I1701" s="257"/>
      <c r="J1701" s="257"/>
      <c r="K1701" s="38">
        <v>929125</v>
      </c>
      <c r="L1701" s="194" t="s">
        <v>259</v>
      </c>
      <c r="M1701" s="194" t="s">
        <v>370</v>
      </c>
      <c r="N1701" s="52" t="str">
        <f>IF(AND('331-CT'!$E$7=TH!H1701,OR(L1701="331",M1701="331")),"331",IF(AND(OR(L1701="131",M1701="131"),H1701='131-CT'!$E$7),"131",""))</f>
        <v/>
      </c>
      <c r="O1701" s="857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1"/>
      <c r="AC1701" s="557"/>
      <c r="AD1701" s="557"/>
    </row>
    <row r="1702" spans="1:30" s="211" customFormat="1" ht="15.75" customHeight="1">
      <c r="A1702" s="204" t="str">
        <f>IF(B1702&lt;&gt;"",IF(AND(B1702&gt;=_TM1,B1702&lt;=_TM2,OR(TH!L1809="1111",TH!M1809="1111")),TH!D1809,""),"")</f>
        <v/>
      </c>
      <c r="B1702" s="36">
        <f t="shared" si="83"/>
        <v>11</v>
      </c>
      <c r="C1702" s="184">
        <f t="shared" si="82"/>
        <v>42692</v>
      </c>
      <c r="D1702" s="184" t="s">
        <v>1148</v>
      </c>
      <c r="E1702" s="191">
        <v>42692</v>
      </c>
      <c r="F1702" s="40" t="s">
        <v>562</v>
      </c>
      <c r="G1702" s="456" t="s">
        <v>1427</v>
      </c>
      <c r="H1702" s="7" t="s">
        <v>819</v>
      </c>
      <c r="I1702" s="257">
        <v>500</v>
      </c>
      <c r="J1702" s="257">
        <v>12950</v>
      </c>
      <c r="K1702" s="38">
        <f>ROUND(I1702*J1702,0)</f>
        <v>6475000</v>
      </c>
      <c r="L1702" s="194" t="s">
        <v>259</v>
      </c>
      <c r="M1702" s="194" t="s">
        <v>174</v>
      </c>
      <c r="N1702" s="52" t="str">
        <f>IF(AND('331-CT'!$E$7=TH!H1702,OR(L1702="331",M1702="331")),"331",IF(AND(OR(L1702="131",M1702="131"),H1702='131-CT'!$E$7),"131",""))</f>
        <v/>
      </c>
      <c r="O1702" s="857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1"/>
      <c r="AC1702" s="557" t="str">
        <f>IF(VLOOKUP(F1702,NXT!$C$35:$C$411,1,0)=F1702,"","x")</f>
        <v/>
      </c>
      <c r="AD1702" s="557"/>
    </row>
    <row r="1703" spans="1:30" s="211" customFormat="1" ht="15.75" customHeight="1">
      <c r="A1703" s="204" t="str">
        <f>IF(B1703&lt;&gt;"",IF(AND(B1703&gt;=_TM1,B1703&lt;=_TM2,OR(TH!L1810="1111",TH!M1810="1111")),TH!D1810,""),"")</f>
        <v/>
      </c>
      <c r="B1703" s="36">
        <f t="shared" si="83"/>
        <v>11</v>
      </c>
      <c r="C1703" s="184">
        <f t="shared" si="82"/>
        <v>42692</v>
      </c>
      <c r="D1703" s="184" t="s">
        <v>1148</v>
      </c>
      <c r="E1703" s="191">
        <v>42692</v>
      </c>
      <c r="F1703" s="40" t="s">
        <v>1285</v>
      </c>
      <c r="G1703" s="456" t="s">
        <v>1427</v>
      </c>
      <c r="H1703" s="7" t="s">
        <v>819</v>
      </c>
      <c r="I1703" s="257"/>
      <c r="J1703" s="257"/>
      <c r="K1703" s="38">
        <v>647500</v>
      </c>
      <c r="L1703" s="194" t="s">
        <v>259</v>
      </c>
      <c r="M1703" s="194" t="s">
        <v>370</v>
      </c>
      <c r="N1703" s="52" t="str">
        <f>IF(AND('331-CT'!$E$7=TH!H1703,OR(L1703="331",M1703="331")),"331",IF(AND(OR(L1703="131",M1703="131"),H1703='131-CT'!$E$7),"131",""))</f>
        <v/>
      </c>
      <c r="O1703" s="857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1"/>
      <c r="AC1703" s="557"/>
    </row>
    <row r="1704" spans="1:30" s="211" customFormat="1" ht="15.75" customHeight="1">
      <c r="A1704" s="204" t="str">
        <f>IF(B1704&lt;&gt;"",IF(AND(B1704&gt;=_TM1,B1704&lt;=_TM2,OR(TH!L502="1111",TH!M502="1111")),TH!D502,""),"")</f>
        <v/>
      </c>
      <c r="B1704" s="36">
        <f t="shared" si="83"/>
        <v>11</v>
      </c>
      <c r="C1704" s="184">
        <f t="shared" si="82"/>
        <v>42693</v>
      </c>
      <c r="D1704" s="184" t="s">
        <v>695</v>
      </c>
      <c r="E1704" s="191">
        <v>42693</v>
      </c>
      <c r="F1704" s="192" t="s">
        <v>696</v>
      </c>
      <c r="G1704" s="192" t="s">
        <v>332</v>
      </c>
      <c r="H1704" s="7" t="s">
        <v>421</v>
      </c>
      <c r="I1704" s="256"/>
      <c r="J1704" s="256"/>
      <c r="K1704" s="565">
        <v>15470730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857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2"/>
      <c r="AC1704" s="557"/>
    </row>
    <row r="1705" spans="1:30" s="211" customFormat="1" ht="15.75" customHeight="1">
      <c r="A1705" s="204" t="str">
        <f>IF(B1705&lt;&gt;"",IF(AND(B1705&gt;=_TM1,B1705&lt;=_TM2,OR(TH!L550="1111",TH!M550="1111")),TH!D550,""),"")</f>
        <v/>
      </c>
      <c r="B1705" s="36">
        <f t="shared" si="83"/>
        <v>11</v>
      </c>
      <c r="C1705" s="184">
        <f t="shared" si="82"/>
        <v>42693</v>
      </c>
      <c r="D1705" s="184" t="s">
        <v>699</v>
      </c>
      <c r="E1705" s="191">
        <v>42693</v>
      </c>
      <c r="F1705" s="192" t="s">
        <v>701</v>
      </c>
      <c r="G1705" s="192" t="s">
        <v>332</v>
      </c>
      <c r="H1705" s="7"/>
      <c r="I1705" s="256"/>
      <c r="J1705" s="256"/>
      <c r="K1705" s="565">
        <v>15000000</v>
      </c>
      <c r="L1705" s="194" t="s">
        <v>8</v>
      </c>
      <c r="M1705" s="566" t="s">
        <v>24</v>
      </c>
      <c r="N1705" s="52" t="str">
        <f>IF(AND('331-CT'!$E$7=TH!H1705,OR(L1705="331",M1705="331")),"331",IF(AND(OR(L1705="131",M1705="131"),H1705='131-CT'!$E$7),"131",""))</f>
        <v/>
      </c>
      <c r="O1705" s="857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2"/>
      <c r="AC1705" s="557"/>
      <c r="AD1705" s="557"/>
    </row>
    <row r="1706" spans="1:30" s="211" customFormat="1" ht="15.75" customHeight="1">
      <c r="A1706" s="204" t="str">
        <f>IF(B1706&lt;&gt;"",IF(AND(B1706&gt;=_TM1,B1706&lt;=_TM2,OR(TH!L551="1111",TH!M551="1111")),TH!D551,""),"")</f>
        <v/>
      </c>
      <c r="B1706" s="36">
        <f t="shared" si="83"/>
        <v>11</v>
      </c>
      <c r="C1706" s="184">
        <f t="shared" si="82"/>
        <v>42693</v>
      </c>
      <c r="D1706" s="184" t="s">
        <v>699</v>
      </c>
      <c r="E1706" s="191">
        <v>42693</v>
      </c>
      <c r="F1706" s="192" t="s">
        <v>704</v>
      </c>
      <c r="G1706" s="192" t="s">
        <v>332</v>
      </c>
      <c r="H1706" s="7"/>
      <c r="I1706" s="256"/>
      <c r="J1706" s="256"/>
      <c r="K1706" s="565">
        <v>13636</v>
      </c>
      <c r="L1706" s="566" t="s">
        <v>83</v>
      </c>
      <c r="M1706" s="566" t="s">
        <v>24</v>
      </c>
      <c r="N1706" s="52" t="str">
        <f>IF(AND('331-CT'!$E$7=TH!H1706,OR(L1706="331",M1706="331")),"331",IF(AND(OR(L1706="131",M1706="131"),H1706='131-CT'!$E$7),"131",""))</f>
        <v/>
      </c>
      <c r="O1706" s="857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>x</v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1">
        <v>4</v>
      </c>
      <c r="AC1706" s="557"/>
    </row>
    <row r="1707" spans="1:30" s="211" customFormat="1" ht="15.75" customHeight="1">
      <c r="A1707" s="204" t="str">
        <f>IF(B1707&lt;&gt;"",IF(AND(B1707&gt;=_TM1,B1707&lt;=_TM2,OR(TH!L552="1111",TH!M552="1111")),TH!D552,""),"")</f>
        <v/>
      </c>
      <c r="B1707" s="36">
        <f>IF(C1707&lt;&gt;"",MONTH(C1707),"")</f>
        <v>11</v>
      </c>
      <c r="C1707" s="184">
        <f>E1707</f>
        <v>42693</v>
      </c>
      <c r="D1707" s="184" t="s">
        <v>699</v>
      </c>
      <c r="E1707" s="191">
        <v>42693</v>
      </c>
      <c r="F1707" s="192" t="s">
        <v>825</v>
      </c>
      <c r="G1707" s="192" t="s">
        <v>332</v>
      </c>
      <c r="H1707" s="193"/>
      <c r="I1707" s="256"/>
      <c r="J1707" s="256"/>
      <c r="K1707" s="565">
        <v>1364</v>
      </c>
      <c r="L1707" s="194" t="s">
        <v>9</v>
      </c>
      <c r="M1707" s="566" t="s">
        <v>24</v>
      </c>
      <c r="N1707" s="52" t="str">
        <f>IF(AND('331-CT'!$E$7=TH!H1707,OR(L1707="331",M1707="331")),"331",IF(AND(OR(L1707="131",M1707="131"),H1707='131-CT'!$E$7),"131",""))</f>
        <v/>
      </c>
      <c r="O1707" s="857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1">
        <v>4</v>
      </c>
      <c r="AC1707" s="557"/>
      <c r="AD1707" s="557"/>
    </row>
    <row r="1708" spans="1:30" s="211" customFormat="1" ht="15.75" customHeight="1">
      <c r="A1708" s="204" t="str">
        <f>IF(B1708&lt;&gt;"",IF(AND(B1708&gt;=_TM1,B1708&lt;=_TM2,OR(TH!L503="1111",TH!M503="1111")),TH!D503,""),"")</f>
        <v/>
      </c>
      <c r="B1708" s="36">
        <f t="shared" si="83"/>
        <v>11</v>
      </c>
      <c r="C1708" s="184">
        <f t="shared" si="82"/>
        <v>42695</v>
      </c>
      <c r="D1708" s="184" t="s">
        <v>695</v>
      </c>
      <c r="E1708" s="191">
        <v>42695</v>
      </c>
      <c r="F1708" s="192" t="s">
        <v>785</v>
      </c>
      <c r="G1708" s="192" t="s">
        <v>332</v>
      </c>
      <c r="H1708" s="7" t="s">
        <v>1313</v>
      </c>
      <c r="I1708" s="256"/>
      <c r="J1708" s="256"/>
      <c r="K1708" s="565">
        <v>9000000</v>
      </c>
      <c r="L1708" s="194" t="s">
        <v>24</v>
      </c>
      <c r="M1708" s="194" t="s">
        <v>47</v>
      </c>
      <c r="N1708" s="52" t="str">
        <f>IF(AND('331-CT'!$E$7=TH!H1708,OR(L1708="331",M1708="331")),"331",IF(AND(OR(L1708="131",M1708="131"),H1708='131-CT'!$E$7),"131",""))</f>
        <v/>
      </c>
      <c r="O1708" s="857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2"/>
      <c r="AC1708" s="557"/>
    </row>
    <row r="1709" spans="1:30" s="211" customFormat="1" ht="15.75" customHeight="1">
      <c r="A1709" s="204" t="str">
        <f>IF(B1709&lt;&gt;"",IF(AND(B1709&gt;=_TM1,B1709&lt;=_TM2,OR(TH!L553="1111",TH!M553="1111")),TH!D553,""),"")</f>
        <v/>
      </c>
      <c r="B1709" s="36">
        <f t="shared" si="83"/>
        <v>11</v>
      </c>
      <c r="C1709" s="184">
        <f t="shared" si="82"/>
        <v>42695</v>
      </c>
      <c r="D1709" s="184" t="s">
        <v>699</v>
      </c>
      <c r="E1709" s="191">
        <v>42695</v>
      </c>
      <c r="F1709" s="192" t="s">
        <v>701</v>
      </c>
      <c r="G1709" s="192" t="s">
        <v>332</v>
      </c>
      <c r="H1709" s="7"/>
      <c r="I1709" s="256"/>
      <c r="J1709" s="256"/>
      <c r="K1709" s="565">
        <v>10000000</v>
      </c>
      <c r="L1709" s="194" t="s">
        <v>8</v>
      </c>
      <c r="M1709" s="566" t="s">
        <v>24</v>
      </c>
      <c r="N1709" s="52" t="str">
        <f>IF(AND('331-CT'!$E$7=TH!H1709,OR(L1709="331",M1709="331")),"331",IF(AND(OR(L1709="131",M1709="131"),H1709='131-CT'!$E$7),"131",""))</f>
        <v/>
      </c>
      <c r="O1709" s="857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2"/>
      <c r="AC1709" s="557"/>
    </row>
    <row r="1710" spans="1:30" s="211" customFormat="1" ht="15.75" customHeight="1">
      <c r="A1710" s="204" t="str">
        <f>IF(B1710&lt;&gt;"",IF(AND(B1710&gt;=_TM1,B1710&lt;=_TM2,OR(TH!L554="1111",TH!M554="1111")),TH!D554,""),"")</f>
        <v/>
      </c>
      <c r="B1710" s="36">
        <f t="shared" si="83"/>
        <v>11</v>
      </c>
      <c r="C1710" s="184">
        <f t="shared" si="82"/>
        <v>42695</v>
      </c>
      <c r="D1710" s="184" t="s">
        <v>699</v>
      </c>
      <c r="E1710" s="191">
        <v>42695</v>
      </c>
      <c r="F1710" s="189" t="s">
        <v>702</v>
      </c>
      <c r="G1710" s="192" t="s">
        <v>332</v>
      </c>
      <c r="H1710" s="193"/>
      <c r="I1710" s="256"/>
      <c r="J1710" s="256"/>
      <c r="K1710" s="565">
        <v>13636</v>
      </c>
      <c r="L1710" s="566" t="s">
        <v>83</v>
      </c>
      <c r="M1710" s="566" t="s">
        <v>24</v>
      </c>
      <c r="N1710" s="52" t="str">
        <f>IF(AND('331-CT'!$E$7=TH!H1710,OR(L1710="331",M1710="331")),"331",IF(AND(OR(L1710="131",M1710="131"),H1710='131-CT'!$E$7),"131",""))</f>
        <v/>
      </c>
      <c r="O1710" s="857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1">
        <v>4</v>
      </c>
      <c r="AC1710" s="557"/>
      <c r="AD1710" s="557"/>
    </row>
    <row r="1711" spans="1:30" s="211" customFormat="1" ht="15.75" customHeight="1">
      <c r="A1711" s="204" t="str">
        <f>IF(B1711&lt;&gt;"",IF(AND(B1711&gt;=_TM1,B1711&lt;=_TM2,OR(TH!L555="1111",TH!M555="1111")),TH!D555,""),"")</f>
        <v/>
      </c>
      <c r="B1711" s="36">
        <f t="shared" si="83"/>
        <v>11</v>
      </c>
      <c r="C1711" s="184">
        <f t="shared" si="82"/>
        <v>42695</v>
      </c>
      <c r="D1711" s="184" t="s">
        <v>699</v>
      </c>
      <c r="E1711" s="191">
        <v>42695</v>
      </c>
      <c r="F1711" s="189" t="s">
        <v>793</v>
      </c>
      <c r="G1711" s="192" t="s">
        <v>332</v>
      </c>
      <c r="H1711" s="7"/>
      <c r="I1711" s="256"/>
      <c r="J1711" s="256"/>
      <c r="K1711" s="565">
        <v>1364</v>
      </c>
      <c r="L1711" s="194" t="s">
        <v>9</v>
      </c>
      <c r="M1711" s="566" t="s">
        <v>24</v>
      </c>
      <c r="N1711" s="52" t="str">
        <f>IF(AND('331-CT'!$E$7=TH!H1711,OR(L1711="331",M1711="331")),"331",IF(AND(OR(L1711="131",M1711="131"),H1711='131-CT'!$E$7),"131",""))</f>
        <v/>
      </c>
      <c r="O1711" s="857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1">
        <v>4</v>
      </c>
      <c r="AC1711" s="557"/>
    </row>
    <row r="1712" spans="1:30" s="211" customFormat="1" ht="15.75" customHeight="1">
      <c r="A1712" s="204" t="str">
        <f>IF(B1712&lt;&gt;"",IF(AND(B1712&gt;=_TM1,B1712&lt;=_TM2,OR(TH!L638="1111",TH!M638="1111")),TH!D638,""),"")</f>
        <v/>
      </c>
      <c r="B1712" s="36">
        <f t="shared" si="83"/>
        <v>11</v>
      </c>
      <c r="C1712" s="184">
        <f t="shared" si="82"/>
        <v>42695</v>
      </c>
      <c r="D1712" s="184" t="s">
        <v>699</v>
      </c>
      <c r="E1712" s="191">
        <v>42695</v>
      </c>
      <c r="F1712" s="189" t="s">
        <v>785</v>
      </c>
      <c r="G1712" s="192" t="s">
        <v>1318</v>
      </c>
      <c r="H1712" s="193" t="s">
        <v>705</v>
      </c>
      <c r="I1712" s="256"/>
      <c r="J1712" s="256"/>
      <c r="K1712" s="565">
        <v>15800000</v>
      </c>
      <c r="L1712" s="566" t="s">
        <v>24</v>
      </c>
      <c r="M1712" s="566" t="s">
        <v>47</v>
      </c>
      <c r="N1712" s="52" t="str">
        <f>IF(AND('331-CT'!$E$7=TH!H1712,OR(L1712="331",M1712="331")),"331",IF(AND(OR(L1712="131",M1712="131"),H1712='131-CT'!$E$7),"131",""))</f>
        <v/>
      </c>
      <c r="O1712" s="857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2"/>
      <c r="AC1712" s="557"/>
      <c r="AD1712" s="557"/>
    </row>
    <row r="1713" spans="1:30" s="211" customFormat="1" ht="15.75" customHeight="1">
      <c r="A1713" s="204" t="str">
        <f>IF(B1713&lt;&gt;"",IF(AND(B1713&gt;=_TM1,B1713&lt;=_TM2,OR(TH!L639="1111",TH!M639="1111")),TH!D639,""),"")</f>
        <v/>
      </c>
      <c r="B1713" s="36">
        <f t="shared" si="83"/>
        <v>11</v>
      </c>
      <c r="C1713" s="184">
        <f t="shared" si="82"/>
        <v>42695</v>
      </c>
      <c r="D1713" s="184" t="s">
        <v>699</v>
      </c>
      <c r="E1713" s="191">
        <v>42695</v>
      </c>
      <c r="F1713" s="192" t="s">
        <v>1327</v>
      </c>
      <c r="G1713" s="192" t="s">
        <v>1318</v>
      </c>
      <c r="H1713" s="193" t="s">
        <v>1322</v>
      </c>
      <c r="I1713" s="256"/>
      <c r="J1713" s="256"/>
      <c r="K1713" s="565">
        <v>12090000</v>
      </c>
      <c r="L1713" s="566" t="s">
        <v>81</v>
      </c>
      <c r="M1713" s="566" t="s">
        <v>24</v>
      </c>
      <c r="N1713" s="52" t="str">
        <f>IF(AND('331-CT'!$E$7=TH!H1713,OR(L1713="331",M1713="331")),"331",IF(AND(OR(L1713="131",M1713="131"),H1713='131-CT'!$E$7),"131",""))</f>
        <v/>
      </c>
      <c r="O1713" s="857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2"/>
      <c r="AC1713" s="557"/>
    </row>
    <row r="1714" spans="1:30" s="211" customFormat="1" ht="15.75" customHeight="1">
      <c r="A1714" s="204" t="str">
        <f>IF(B1714&lt;&gt;"",IF(AND(B1714&gt;=_TM1,B1714&lt;=_TM2,OR(TH!L640="1111",TH!M640="1111")),TH!D640,""),"")</f>
        <v/>
      </c>
      <c r="B1714" s="36">
        <f t="shared" si="83"/>
        <v>11</v>
      </c>
      <c r="C1714" s="184">
        <f t="shared" si="82"/>
        <v>42695</v>
      </c>
      <c r="D1714" s="184" t="s">
        <v>699</v>
      </c>
      <c r="E1714" s="191">
        <v>42695</v>
      </c>
      <c r="F1714" s="192" t="s">
        <v>1327</v>
      </c>
      <c r="G1714" s="192" t="s">
        <v>1318</v>
      </c>
      <c r="H1714" s="193" t="s">
        <v>1325</v>
      </c>
      <c r="I1714" s="256"/>
      <c r="J1714" s="256"/>
      <c r="K1714" s="565">
        <v>1119444</v>
      </c>
      <c r="L1714" s="566" t="s">
        <v>81</v>
      </c>
      <c r="M1714" s="566" t="s">
        <v>24</v>
      </c>
      <c r="N1714" s="52" t="str">
        <f>IF(AND('331-CT'!$E$7=TH!H1714,OR(L1714="331",M1714="331")),"331",IF(AND(OR(L1714="131",M1714="131"),H1714='131-CT'!$E$7),"131",""))</f>
        <v/>
      </c>
      <c r="O1714" s="857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>x</v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2"/>
      <c r="AC1714" s="557"/>
      <c r="AD1714" s="557"/>
    </row>
    <row r="1715" spans="1:30" s="211" customFormat="1" ht="15.75" customHeight="1">
      <c r="A1715" s="204" t="str">
        <f>IF(B1715&lt;&gt;"",IF(AND(B1715&gt;=_TM1,B1715&lt;=_TM2,OR(TH!L641="1111",TH!M641="1111")),TH!D641,""),"")</f>
        <v/>
      </c>
      <c r="B1715" s="36">
        <f t="shared" si="83"/>
        <v>11</v>
      </c>
      <c r="C1715" s="184">
        <f t="shared" si="82"/>
        <v>42695</v>
      </c>
      <c r="D1715" s="184" t="s">
        <v>699</v>
      </c>
      <c r="E1715" s="191">
        <v>42695</v>
      </c>
      <c r="F1715" s="192" t="s">
        <v>1327</v>
      </c>
      <c r="G1715" s="192" t="s">
        <v>1318</v>
      </c>
      <c r="H1715" s="193" t="s">
        <v>1326</v>
      </c>
      <c r="I1715" s="256"/>
      <c r="J1715" s="256"/>
      <c r="K1715" s="565">
        <v>605668</v>
      </c>
      <c r="L1715" s="566" t="s">
        <v>81</v>
      </c>
      <c r="M1715" s="566" t="s">
        <v>24</v>
      </c>
      <c r="N1715" s="52" t="str">
        <f>IF(AND('331-CT'!$E$7=TH!H1715,OR(L1715="331",M1715="331")),"331",IF(AND(OR(L1715="131",M1715="131"),H1715='131-CT'!$E$7),"131",""))</f>
        <v/>
      </c>
      <c r="O1715" s="857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>x</v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2"/>
      <c r="AC1715" s="557"/>
      <c r="AD1715" s="557"/>
    </row>
    <row r="1716" spans="1:30" s="211" customFormat="1" ht="15.75" customHeight="1">
      <c r="A1716" s="204" t="str">
        <f>IF(B1716&lt;&gt;"",IF(AND(B1716&gt;=_TM1,B1716&lt;=_TM2,OR(TH!L642="1111",TH!M642="1111")),TH!D642,""),"")</f>
        <v/>
      </c>
      <c r="B1716" s="36">
        <f t="shared" si="83"/>
        <v>11</v>
      </c>
      <c r="C1716" s="184">
        <f t="shared" si="82"/>
        <v>42695</v>
      </c>
      <c r="D1716" s="184" t="s">
        <v>699</v>
      </c>
      <c r="E1716" s="191">
        <v>42695</v>
      </c>
      <c r="F1716" s="192" t="s">
        <v>1327</v>
      </c>
      <c r="G1716" s="192" t="s">
        <v>1318</v>
      </c>
      <c r="H1716" s="193" t="s">
        <v>1496</v>
      </c>
      <c r="I1716" s="256"/>
      <c r="J1716" s="256"/>
      <c r="K1716" s="565">
        <v>279861</v>
      </c>
      <c r="L1716" s="566" t="s">
        <v>81</v>
      </c>
      <c r="M1716" s="566" t="s">
        <v>24</v>
      </c>
      <c r="N1716" s="52" t="str">
        <f>IF(AND('331-CT'!$E$7=TH!H1716,OR(L1716="331",M1716="331")),"331",IF(AND(OR(L1716="131",M1716="131"),H1716='131-CT'!$E$7),"131",""))</f>
        <v/>
      </c>
      <c r="O1716" s="857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>x</v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2"/>
      <c r="AC1716" s="557"/>
    </row>
    <row r="1717" spans="1:30" s="211" customFormat="1" ht="15.75" customHeight="1">
      <c r="A1717" s="204" t="str">
        <f>IF(B1717&lt;&gt;"",IF(AND(B1717&gt;=_TM1,B1717&lt;=_TM2,OR(TH!L643="1111",TH!M643="1111")),TH!D643,""),"")</f>
        <v/>
      </c>
      <c r="B1717" s="36">
        <f t="shared" si="83"/>
        <v>11</v>
      </c>
      <c r="C1717" s="184">
        <f t="shared" si="82"/>
        <v>42695</v>
      </c>
      <c r="D1717" s="184" t="s">
        <v>699</v>
      </c>
      <c r="E1717" s="191">
        <v>42695</v>
      </c>
      <c r="F1717" s="192" t="s">
        <v>1327</v>
      </c>
      <c r="G1717" s="192" t="s">
        <v>1318</v>
      </c>
      <c r="H1717" s="193" t="s">
        <v>1491</v>
      </c>
      <c r="I1717" s="256"/>
      <c r="J1717" s="256"/>
      <c r="K1717" s="565">
        <v>279861</v>
      </c>
      <c r="L1717" s="566" t="s">
        <v>81</v>
      </c>
      <c r="M1717" s="566" t="s">
        <v>24</v>
      </c>
      <c r="N1717" s="52" t="str">
        <f>IF(AND('331-CT'!$E$7=TH!H1717,OR(L1717="331",M1717="331")),"331",IF(AND(OR(L1717="131",M1717="131"),H1717='131-CT'!$E$7),"131",""))</f>
        <v/>
      </c>
      <c r="O1717" s="857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>x</v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92"/>
      <c r="AC1717" s="557"/>
      <c r="AD1717" s="557"/>
    </row>
    <row r="1718" spans="1:30" s="211" customFormat="1" ht="15.75" customHeight="1">
      <c r="A1718" s="204" t="str">
        <f>IF(B1718&lt;&gt;"",IF(AND(B1718&gt;=_TM1,B1718&lt;=_TM2,OR(TH!L644="1111",TH!M644="1111")),TH!D644,""),"")</f>
        <v/>
      </c>
      <c r="B1718" s="36">
        <f t="shared" si="83"/>
        <v>11</v>
      </c>
      <c r="C1718" s="184">
        <f t="shared" si="82"/>
        <v>42695</v>
      </c>
      <c r="D1718" s="184" t="s">
        <v>699</v>
      </c>
      <c r="E1718" s="191">
        <v>42695</v>
      </c>
      <c r="F1718" s="192" t="s">
        <v>1327</v>
      </c>
      <c r="G1718" s="192" t="s">
        <v>1318</v>
      </c>
      <c r="H1718" s="193" t="s">
        <v>1497</v>
      </c>
      <c r="I1718" s="256"/>
      <c r="J1718" s="256"/>
      <c r="K1718" s="565">
        <v>1218750</v>
      </c>
      <c r="L1718" s="566" t="s">
        <v>81</v>
      </c>
      <c r="M1718" s="566" t="s">
        <v>24</v>
      </c>
      <c r="N1718" s="52" t="str">
        <f>IF(AND('331-CT'!$E$7=TH!H1718,OR(L1718="331",M1718="331")),"331",IF(AND(OR(L1718="131",M1718="131"),H1718='131-CT'!$E$7),"131",""))</f>
        <v/>
      </c>
      <c r="O1718" s="857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>x</v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92"/>
      <c r="AC1718" s="557"/>
      <c r="AD1718" s="557"/>
    </row>
    <row r="1719" spans="1:30" s="211" customFormat="1" ht="15.75" customHeight="1">
      <c r="A1719" s="204" t="str">
        <f>IF(B1719&lt;&gt;"",IF(AND(B1719&gt;=_TM1,B1719&lt;=_TM2,OR(TH!L645="1111",TH!M645="1111")),TH!D645,""),"")</f>
        <v/>
      </c>
      <c r="B1719" s="36">
        <f t="shared" si="83"/>
        <v>11</v>
      </c>
      <c r="C1719" s="184">
        <f t="shared" si="82"/>
        <v>42695</v>
      </c>
      <c r="D1719" s="184" t="s">
        <v>699</v>
      </c>
      <c r="E1719" s="191">
        <v>42695</v>
      </c>
      <c r="F1719" s="192" t="s">
        <v>1327</v>
      </c>
      <c r="G1719" s="192" t="s">
        <v>1318</v>
      </c>
      <c r="H1719" s="193" t="s">
        <v>1545</v>
      </c>
      <c r="I1719" s="256"/>
      <c r="J1719" s="256"/>
      <c r="K1719" s="565">
        <v>118056</v>
      </c>
      <c r="L1719" s="566" t="s">
        <v>81</v>
      </c>
      <c r="M1719" s="566" t="s">
        <v>24</v>
      </c>
      <c r="N1719" s="52" t="str">
        <f>IF(AND('331-CT'!$E$7=TH!H1719,OR(L1719="331",M1719="331")),"331",IF(AND(OR(L1719="131",M1719="131"),H1719='131-CT'!$E$7),"131",""))</f>
        <v/>
      </c>
      <c r="O1719" s="857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2"/>
      <c r="AC1719" s="557"/>
    </row>
    <row r="1720" spans="1:30" s="211" customFormat="1" ht="15.75" customHeight="1">
      <c r="A1720" s="204" t="str">
        <f>IF(B1720&lt;&gt;"",IF(AND(B1720&gt;=_TM1,B1720&lt;=_TM2,OR(TH!L1811="1111",TH!M1811="1111")),TH!D1811,""),"")</f>
        <v/>
      </c>
      <c r="B1720" s="36">
        <f t="shared" si="83"/>
        <v>11</v>
      </c>
      <c r="C1720" s="184">
        <f t="shared" si="82"/>
        <v>42696</v>
      </c>
      <c r="D1720" s="184" t="s">
        <v>1149</v>
      </c>
      <c r="E1720" s="191">
        <v>42696</v>
      </c>
      <c r="F1720" s="40" t="s">
        <v>954</v>
      </c>
      <c r="G1720" s="456" t="s">
        <v>1428</v>
      </c>
      <c r="H1720" s="193" t="s">
        <v>1299</v>
      </c>
      <c r="I1720" s="257">
        <v>135</v>
      </c>
      <c r="J1720" s="257">
        <v>19700</v>
      </c>
      <c r="K1720" s="38">
        <f>ROUND(I1720*J1720,0)</f>
        <v>2659500</v>
      </c>
      <c r="L1720" s="194" t="s">
        <v>259</v>
      </c>
      <c r="M1720" s="194" t="s">
        <v>174</v>
      </c>
      <c r="N1720" s="52" t="str">
        <f>IF(AND('331-CT'!$E$7=TH!H1720,OR(L1720="331",M1720="331")),"331",IF(AND(OR(L1720="131",M1720="131"),H1720='131-CT'!$E$7),"131",""))</f>
        <v/>
      </c>
      <c r="O1720" s="857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1"/>
      <c r="AC1720" s="557" t="str">
        <f>IF(VLOOKUP(F1720,NXT!$C$35:$C$411,1,0)=F1720,"","x")</f>
        <v/>
      </c>
      <c r="AD1720" s="557"/>
    </row>
    <row r="1721" spans="1:30" s="211" customFormat="1" ht="15.75" customHeight="1">
      <c r="A1721" s="204" t="str">
        <f>IF(B1721&lt;&gt;"",IF(AND(B1721&gt;=_TM1,B1721&lt;=_TM2,OR(TH!L1812="1111",TH!M1812="1111")),TH!D1812,""),"")</f>
        <v/>
      </c>
      <c r="B1721" s="36">
        <f t="shared" si="83"/>
        <v>11</v>
      </c>
      <c r="C1721" s="184">
        <f t="shared" si="82"/>
        <v>42696</v>
      </c>
      <c r="D1721" s="184" t="s">
        <v>1149</v>
      </c>
      <c r="E1721" s="191">
        <v>42696</v>
      </c>
      <c r="F1721" s="40" t="s">
        <v>1285</v>
      </c>
      <c r="G1721" s="456" t="s">
        <v>1428</v>
      </c>
      <c r="H1721" s="193" t="s">
        <v>1299</v>
      </c>
      <c r="I1721" s="257"/>
      <c r="J1721" s="257"/>
      <c r="K1721" s="38">
        <v>265950</v>
      </c>
      <c r="L1721" s="194" t="s">
        <v>259</v>
      </c>
      <c r="M1721" s="194" t="s">
        <v>370</v>
      </c>
      <c r="N1721" s="52" t="str">
        <f>IF(AND('331-CT'!$E$7=TH!H1721,OR(L1721="331",M1721="331")),"331",IF(AND(OR(L1721="131",M1721="131"),H1721='131-CT'!$E$7),"131",""))</f>
        <v/>
      </c>
      <c r="O1721" s="857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1"/>
      <c r="AC1721" s="557"/>
    </row>
    <row r="1722" spans="1:30" s="211" customFormat="1" ht="15.75" customHeight="1">
      <c r="A1722" s="204">
        <f>IF(B1722&lt;&gt;"",IF(AND(B1722&gt;=_TM1,B1722&lt;=_TM2,OR(TH!L1813="1111",TH!M1813="1111")),TH!D1813,""),"")</f>
        <v>0</v>
      </c>
      <c r="B1722" s="36">
        <f t="shared" si="83"/>
        <v>11</v>
      </c>
      <c r="C1722" s="184">
        <f t="shared" si="82"/>
        <v>42696</v>
      </c>
      <c r="D1722" s="184" t="s">
        <v>1150</v>
      </c>
      <c r="E1722" s="191">
        <v>42696</v>
      </c>
      <c r="F1722" s="189" t="s">
        <v>1465</v>
      </c>
      <c r="G1722" s="456" t="s">
        <v>1429</v>
      </c>
      <c r="H1722" s="7" t="s">
        <v>645</v>
      </c>
      <c r="I1722" s="257">
        <v>300</v>
      </c>
      <c r="J1722" s="257">
        <v>10900</v>
      </c>
      <c r="K1722" s="38">
        <f>ROUND(I1722*J1722,0)</f>
        <v>3270000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57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1"/>
      <c r="AC1722" s="557" t="str">
        <f>IF(VLOOKUP(F1722,NXT!$C$35:$C$411,1,0)=F1722,"","x")</f>
        <v/>
      </c>
      <c r="AD1722" s="557"/>
    </row>
    <row r="1723" spans="1:30" s="211" customFormat="1" ht="15.75" customHeight="1">
      <c r="A1723" s="204" t="str">
        <f>IF(B1723&lt;&gt;"",IF(AND(B1723&gt;=_TM1,B1723&lt;=_TM2,OR(TH!L1814="1111",TH!M1814="1111")),TH!D1814,""),"")</f>
        <v/>
      </c>
      <c r="B1723" s="36">
        <f t="shared" si="83"/>
        <v>11</v>
      </c>
      <c r="C1723" s="184">
        <f t="shared" si="82"/>
        <v>42696</v>
      </c>
      <c r="D1723" s="184" t="s">
        <v>1150</v>
      </c>
      <c r="E1723" s="191">
        <v>42696</v>
      </c>
      <c r="F1723" s="40" t="s">
        <v>1285</v>
      </c>
      <c r="G1723" s="456" t="s">
        <v>1429</v>
      </c>
      <c r="H1723" s="7" t="s">
        <v>645</v>
      </c>
      <c r="I1723" s="257"/>
      <c r="J1723" s="257"/>
      <c r="K1723" s="38">
        <v>327000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57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1"/>
      <c r="AC1723" s="557"/>
    </row>
    <row r="1724" spans="1:30" s="211" customFormat="1" ht="15.75" customHeight="1">
      <c r="A1724" s="204">
        <f>IF(B1724&lt;&gt;"",IF(AND(B1724&gt;=_TM1,B1724&lt;=_TM2,OR(TH!L504="1111",TH!M504="1111")),TH!D504,""),"")</f>
        <v>0</v>
      </c>
      <c r="B1724" s="36">
        <f t="shared" si="83"/>
        <v>11</v>
      </c>
      <c r="C1724" s="184">
        <f t="shared" si="82"/>
        <v>42697</v>
      </c>
      <c r="D1724" s="184" t="s">
        <v>695</v>
      </c>
      <c r="E1724" s="191">
        <v>42697</v>
      </c>
      <c r="F1724" s="752" t="s">
        <v>696</v>
      </c>
      <c r="G1724" s="192" t="s">
        <v>332</v>
      </c>
      <c r="H1724" s="193" t="s">
        <v>1354</v>
      </c>
      <c r="I1724" s="256"/>
      <c r="J1724" s="256"/>
      <c r="K1724" s="565">
        <v>18835080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57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2"/>
      <c r="AC1724" s="557"/>
    </row>
    <row r="1725" spans="1:30" s="211" customFormat="1" ht="15.75" customHeight="1">
      <c r="A1725" s="204" t="str">
        <f>IF(B1725&lt;&gt;"",IF(AND(B1725&gt;=_TM1,B1725&lt;=_TM2,OR(TH!L1603="1111",TH!M1603="1111")),TH!D1603,""),"")</f>
        <v/>
      </c>
      <c r="B1725" s="36">
        <f t="shared" si="83"/>
        <v>11</v>
      </c>
      <c r="C1725" s="184">
        <f t="shared" si="82"/>
        <v>42697</v>
      </c>
      <c r="D1725" s="184" t="s">
        <v>1219</v>
      </c>
      <c r="E1725" s="191">
        <v>42697</v>
      </c>
      <c r="F1725" s="934" t="s">
        <v>706</v>
      </c>
      <c r="G1725" s="456" t="s">
        <v>1569</v>
      </c>
      <c r="H1725" s="193" t="s">
        <v>855</v>
      </c>
      <c r="I1725" s="256">
        <v>4710</v>
      </c>
      <c r="J1725" s="256">
        <v>8500</v>
      </c>
      <c r="K1725" s="565">
        <v>40035000</v>
      </c>
      <c r="L1725" s="194" t="s">
        <v>159</v>
      </c>
      <c r="M1725" s="194" t="s">
        <v>8</v>
      </c>
      <c r="N1725" s="52" t="str">
        <f>IF(AND('331-CT'!$E$7=TH!H1725,OR(L1725="331",M1725="331")),"331",IF(AND(OR(L1725="131",M1725="131"),H1725='131-CT'!$E$7),"131",""))</f>
        <v/>
      </c>
      <c r="O1725" s="857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790">
        <v>4</v>
      </c>
      <c r="AC1725" s="557"/>
      <c r="AD1725" s="557"/>
    </row>
    <row r="1726" spans="1:30" s="211" customFormat="1" ht="15.75" customHeight="1">
      <c r="A1726" s="204" t="str">
        <f>IF(B1726&lt;&gt;"",IF(AND(B1726&gt;=_TM1,B1726&lt;=_TM2,OR(TH!L1604="1111",TH!M1604="1111")),TH!D1604,""),"")</f>
        <v/>
      </c>
      <c r="B1726" s="36">
        <f t="shared" si="83"/>
        <v>11</v>
      </c>
      <c r="C1726" s="184">
        <f t="shared" si="82"/>
        <v>42697</v>
      </c>
      <c r="D1726" s="184"/>
      <c r="E1726" s="191">
        <v>42697</v>
      </c>
      <c r="F1726" s="192" t="s">
        <v>1570</v>
      </c>
      <c r="G1726" s="456" t="s">
        <v>1569</v>
      </c>
      <c r="H1726" s="193" t="s">
        <v>855</v>
      </c>
      <c r="I1726" s="256"/>
      <c r="J1726" s="256"/>
      <c r="K1726" s="565">
        <v>4003500</v>
      </c>
      <c r="L1726" s="194" t="s">
        <v>9</v>
      </c>
      <c r="M1726" s="194" t="s">
        <v>8</v>
      </c>
      <c r="N1726" s="52" t="str">
        <f>IF(AND('331-CT'!$E$7=TH!H1726,OR(L1726="331",M1726="331")),"331",IF(AND(OR(L1726="131",M1726="131"),H1726='131-CT'!$E$7),"131",""))</f>
        <v/>
      </c>
      <c r="O1726" s="857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790">
        <v>4</v>
      </c>
      <c r="AC1726" s="557"/>
      <c r="AD1726" s="557"/>
    </row>
    <row r="1727" spans="1:30" s="211" customFormat="1" ht="15.75" customHeight="1">
      <c r="A1727" s="204" t="str">
        <f>IF(B1727&lt;&gt;"",IF(AND(B1727&gt;=_TM1,B1727&lt;=_TM2,OR(TH!L1815="1111",TH!M1815="1111")),TH!D1815,""),"")</f>
        <v/>
      </c>
      <c r="B1727" s="36">
        <f t="shared" si="83"/>
        <v>11</v>
      </c>
      <c r="C1727" s="184">
        <f t="shared" si="82"/>
        <v>42697</v>
      </c>
      <c r="D1727" s="184" t="s">
        <v>1151</v>
      </c>
      <c r="E1727" s="191">
        <v>42697</v>
      </c>
      <c r="F1727" s="40" t="s">
        <v>1432</v>
      </c>
      <c r="G1727" s="456" t="s">
        <v>1430</v>
      </c>
      <c r="H1727" s="193" t="s">
        <v>1431</v>
      </c>
      <c r="I1727" s="257">
        <v>10170</v>
      </c>
      <c r="J1727" s="257">
        <v>9000</v>
      </c>
      <c r="K1727" s="38">
        <f>ROUND(I1727*J1727,0)</f>
        <v>91530000</v>
      </c>
      <c r="L1727" s="194" t="s">
        <v>259</v>
      </c>
      <c r="M1727" s="194" t="s">
        <v>174</v>
      </c>
      <c r="N1727" s="52" t="str">
        <f>IF(AND('331-CT'!$E$7=TH!H1727,OR(L1727="331",M1727="331")),"331",IF(AND(OR(L1727="131",M1727="131"),H1727='131-CT'!$E$7),"131",""))</f>
        <v/>
      </c>
      <c r="O1727" s="857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1"/>
      <c r="AC1727" s="557" t="str">
        <f>IF(VLOOKUP(F1727,NXT!$C$35:$C$411,1,0)=F1727,"","x")</f>
        <v/>
      </c>
      <c r="AD1727" s="557"/>
    </row>
    <row r="1728" spans="1:30" s="211" customFormat="1" ht="15.75" customHeight="1">
      <c r="A1728" s="204">
        <f>IF(B1728&lt;&gt;"",IF(AND(B1728&gt;=_TM1,B1728&lt;=_TM2,OR(TH!L1816="1111",TH!M1816="1111")),TH!D1816,""),"")</f>
        <v>0</v>
      </c>
      <c r="B1728" s="36">
        <f t="shared" si="83"/>
        <v>11</v>
      </c>
      <c r="C1728" s="184">
        <f t="shared" si="82"/>
        <v>42697</v>
      </c>
      <c r="D1728" s="184" t="s">
        <v>1151</v>
      </c>
      <c r="E1728" s="191">
        <v>42697</v>
      </c>
      <c r="F1728" s="40" t="s">
        <v>1285</v>
      </c>
      <c r="G1728" s="456" t="s">
        <v>1430</v>
      </c>
      <c r="H1728" s="193" t="s">
        <v>1431</v>
      </c>
      <c r="I1728" s="257"/>
      <c r="J1728" s="257"/>
      <c r="K1728" s="38">
        <v>9153000</v>
      </c>
      <c r="L1728" s="194" t="s">
        <v>259</v>
      </c>
      <c r="M1728" s="194" t="s">
        <v>370</v>
      </c>
      <c r="N1728" s="52" t="str">
        <f>IF(AND('331-CT'!$E$7=TH!H1728,OR(L1728="331",M1728="331")),"331",IF(AND(OR(L1728="131",M1728="131"),H1728='131-CT'!$E$7),"131",""))</f>
        <v/>
      </c>
      <c r="O1728" s="857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1"/>
      <c r="AC1728" s="557"/>
    </row>
    <row r="1729" spans="1:30" s="211" customFormat="1" ht="15.75" customHeight="1">
      <c r="A1729" s="204" t="str">
        <f>IF(B1729&lt;&gt;"",IF(AND(B1729&gt;=_TM1,B1729&lt;=_TM2,OR(TH!L1817="1111",TH!M1817="1111")),TH!D1817,""),"")</f>
        <v/>
      </c>
      <c r="B1729" s="36">
        <f t="shared" si="83"/>
        <v>11</v>
      </c>
      <c r="C1729" s="184">
        <f t="shared" si="82"/>
        <v>42697</v>
      </c>
      <c r="D1729" s="184" t="s">
        <v>1152</v>
      </c>
      <c r="E1729" s="191">
        <v>42697</v>
      </c>
      <c r="F1729" s="40" t="s">
        <v>1286</v>
      </c>
      <c r="G1729" s="456" t="s">
        <v>1433</v>
      </c>
      <c r="H1729" s="7" t="s">
        <v>421</v>
      </c>
      <c r="I1729" s="257">
        <v>637</v>
      </c>
      <c r="J1729" s="257">
        <v>5000</v>
      </c>
      <c r="K1729" s="38">
        <f>ROUND(I1729*J1729,0)</f>
        <v>3185000</v>
      </c>
      <c r="L1729" s="194" t="s">
        <v>259</v>
      </c>
      <c r="M1729" s="194" t="s">
        <v>174</v>
      </c>
      <c r="N1729" s="52" t="str">
        <f>IF(AND('331-CT'!$E$7=TH!H1729,OR(L1729="331",M1729="331")),"331",IF(AND(OR(L1729="131",M1729="131"),H1729='131-CT'!$E$7),"131",""))</f>
        <v/>
      </c>
      <c r="O1729" s="857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1"/>
      <c r="AC1729" s="557" t="str">
        <f>IF(VLOOKUP(F1729,NXT!$C$35:$C$411,1,0)=F1729,"","x")</f>
        <v/>
      </c>
      <c r="AD1729" s="557"/>
    </row>
    <row r="1730" spans="1:30" s="211" customFormat="1" ht="15.75" customHeight="1">
      <c r="A1730" s="204" t="str">
        <f>IF(B1730&lt;&gt;"",IF(AND(B1730&gt;=_TM1,B1730&lt;=_TM2,OR(TH!L1818="1111",TH!M1818="1111")),TH!D1818,""),"")</f>
        <v>GBN</v>
      </c>
      <c r="B1730" s="36">
        <f t="shared" si="83"/>
        <v>11</v>
      </c>
      <c r="C1730" s="184">
        <f t="shared" si="82"/>
        <v>42697</v>
      </c>
      <c r="D1730" s="184" t="s">
        <v>1152</v>
      </c>
      <c r="E1730" s="191">
        <v>42697</v>
      </c>
      <c r="F1730" s="40" t="s">
        <v>1434</v>
      </c>
      <c r="G1730" s="456" t="s">
        <v>1433</v>
      </c>
      <c r="H1730" s="7" t="s">
        <v>421</v>
      </c>
      <c r="I1730" s="257">
        <v>469</v>
      </c>
      <c r="J1730" s="257">
        <v>9700</v>
      </c>
      <c r="K1730" s="38">
        <f>ROUND(I1730*J1730,0)</f>
        <v>4549300</v>
      </c>
      <c r="L1730" s="194" t="s">
        <v>259</v>
      </c>
      <c r="M1730" s="194" t="s">
        <v>174</v>
      </c>
      <c r="N1730" s="52" t="str">
        <f>IF(AND('331-CT'!$E$7=TH!H1730,OR(L1730="331",M1730="331")),"331",IF(AND(OR(L1730="131",M1730="131"),H1730='131-CT'!$E$7),"131",""))</f>
        <v/>
      </c>
      <c r="O1730" s="857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1"/>
      <c r="AC1730" s="557" t="str">
        <f>IF(VLOOKUP(F1730,NXT!$C$35:$C$411,1,0)=F1730,"","x")</f>
        <v/>
      </c>
    </row>
    <row r="1731" spans="1:30" s="211" customFormat="1" ht="15.75" customHeight="1">
      <c r="A1731" s="204" t="str">
        <f>IF(B1731&lt;&gt;"",IF(AND(B1731&gt;=_TM1,B1731&lt;=_TM2,OR(TH!L1819="1111",TH!M1819="1111")),TH!D1819,""),"")</f>
        <v/>
      </c>
      <c r="B1731" s="36">
        <f t="shared" si="83"/>
        <v>11</v>
      </c>
      <c r="C1731" s="184">
        <f t="shared" si="82"/>
        <v>42697</v>
      </c>
      <c r="D1731" s="184" t="s">
        <v>1152</v>
      </c>
      <c r="E1731" s="191">
        <v>42697</v>
      </c>
      <c r="F1731" s="40" t="s">
        <v>1285</v>
      </c>
      <c r="G1731" s="456" t="s">
        <v>1433</v>
      </c>
      <c r="H1731" s="7" t="s">
        <v>421</v>
      </c>
      <c r="I1731" s="257"/>
      <c r="J1731" s="257"/>
      <c r="K1731" s="38">
        <v>773430</v>
      </c>
      <c r="L1731" s="194" t="s">
        <v>259</v>
      </c>
      <c r="M1731" s="194" t="s">
        <v>370</v>
      </c>
      <c r="N1731" s="52" t="str">
        <f>IF(AND('331-CT'!$E$7=TH!H1731,OR(L1731="331",M1731="331")),"331",IF(AND(OR(L1731="131",M1731="131"),H1731='131-CT'!$E$7),"131",""))</f>
        <v/>
      </c>
      <c r="O1731" s="857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1"/>
      <c r="AC1731" s="557"/>
      <c r="AD1731" s="557"/>
    </row>
    <row r="1732" spans="1:30" s="211" customFormat="1" ht="15.75" customHeight="1">
      <c r="A1732" s="204" t="str">
        <f>IF(B1732&lt;&gt;"",IF(AND(B1732&gt;=_TM1,B1732&lt;=_TM2,OR(TH!L505="1111",TH!M505="1111")),TH!D505,""),"")</f>
        <v/>
      </c>
      <c r="B1732" s="36">
        <f t="shared" si="83"/>
        <v>11</v>
      </c>
      <c r="C1732" s="184">
        <f t="shared" ref="C1732:C1795" si="84">E1732</f>
        <v>42699</v>
      </c>
      <c r="D1732" s="184" t="s">
        <v>695</v>
      </c>
      <c r="E1732" s="191">
        <v>42699</v>
      </c>
      <c r="F1732" s="192" t="s">
        <v>696</v>
      </c>
      <c r="G1732" s="192" t="s">
        <v>332</v>
      </c>
      <c r="H1732" s="7" t="s">
        <v>645</v>
      </c>
      <c r="I1732" s="256"/>
      <c r="J1732" s="256"/>
      <c r="K1732" s="565">
        <v>4752000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857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2"/>
      <c r="AC1732" s="557"/>
    </row>
    <row r="1733" spans="1:30" s="211" customFormat="1" ht="15.75" customHeight="1">
      <c r="A1733" s="204" t="str">
        <f>IF(B1733&lt;&gt;"",IF(AND(B1733&gt;=_TM1,B1733&lt;=_TM2,OR(TH!L506="1111",TH!M506="1111")),TH!D506,""),"")</f>
        <v/>
      </c>
      <c r="B1733" s="36">
        <f t="shared" si="83"/>
        <v>11</v>
      </c>
      <c r="C1733" s="184">
        <f t="shared" si="84"/>
        <v>42699</v>
      </c>
      <c r="D1733" s="184" t="s">
        <v>695</v>
      </c>
      <c r="E1733" s="191">
        <v>42699</v>
      </c>
      <c r="F1733" s="192" t="s">
        <v>697</v>
      </c>
      <c r="G1733" s="192" t="s">
        <v>332</v>
      </c>
      <c r="H1733" s="7"/>
      <c r="I1733" s="256"/>
      <c r="J1733" s="256"/>
      <c r="K1733" s="565">
        <v>512</v>
      </c>
      <c r="L1733" s="194" t="s">
        <v>24</v>
      </c>
      <c r="M1733" s="194" t="s">
        <v>40</v>
      </c>
      <c r="N1733" s="52" t="str">
        <f>IF(AND('331-CT'!$E$7=TH!H1733,OR(L1733="331",M1733="331")),"331",IF(AND(OR(L1733="131",M1733="131"),H1733='131-CT'!$E$7),"131",""))</f>
        <v/>
      </c>
      <c r="O1733" s="857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2"/>
      <c r="AC1733" s="557"/>
    </row>
    <row r="1734" spans="1:30" s="211" customFormat="1" ht="15.75" customHeight="1">
      <c r="A1734" s="204" t="str">
        <f>IF(B1734&lt;&gt;"",IF(AND(B1734&gt;=_TM1,B1734&lt;=_TM2,OR(TH!L507="1111",TH!M507="1111")),TH!D507,""),"")</f>
        <v/>
      </c>
      <c r="B1734" s="36">
        <f t="shared" si="83"/>
        <v>11</v>
      </c>
      <c r="C1734" s="184">
        <f t="shared" si="84"/>
        <v>42699</v>
      </c>
      <c r="D1734" s="184" t="s">
        <v>695</v>
      </c>
      <c r="E1734" s="191">
        <v>42699</v>
      </c>
      <c r="F1734" s="192" t="s">
        <v>785</v>
      </c>
      <c r="G1734" s="192" t="s">
        <v>332</v>
      </c>
      <c r="H1734" s="7" t="s">
        <v>1313</v>
      </c>
      <c r="I1734" s="256"/>
      <c r="J1734" s="256"/>
      <c r="K1734" s="565">
        <v>2300000</v>
      </c>
      <c r="L1734" s="194" t="s">
        <v>24</v>
      </c>
      <c r="M1734" s="194" t="s">
        <v>47</v>
      </c>
      <c r="N1734" s="52" t="str">
        <f>IF(AND('331-CT'!$E$7=TH!H1734,OR(L1734="331",M1734="331")),"331",IF(AND(OR(L1734="131",M1734="131"),H1734='131-CT'!$E$7),"131",""))</f>
        <v/>
      </c>
      <c r="O1734" s="857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2"/>
      <c r="AC1734" s="557"/>
    </row>
    <row r="1735" spans="1:30" s="211" customFormat="1" ht="15.75" customHeight="1">
      <c r="A1735" s="204" t="str">
        <f>IF(B1735&lt;&gt;"",IF(AND(B1735&gt;=_TM1,B1735&lt;=_TM2,OR(TH!L556="1111",TH!M556="1111")),TH!D556,""),"")</f>
        <v/>
      </c>
      <c r="B1735" s="36">
        <f t="shared" ref="B1735:B1798" si="85">IF(C1735&lt;&gt;"",MONTH(C1735),"")</f>
        <v>11</v>
      </c>
      <c r="C1735" s="184">
        <f t="shared" si="84"/>
        <v>42699</v>
      </c>
      <c r="D1735" s="184" t="s">
        <v>699</v>
      </c>
      <c r="E1735" s="191">
        <v>42699</v>
      </c>
      <c r="F1735" s="192" t="s">
        <v>701</v>
      </c>
      <c r="G1735" s="192" t="s">
        <v>332</v>
      </c>
      <c r="H1735" s="7"/>
      <c r="I1735" s="256"/>
      <c r="J1735" s="256"/>
      <c r="K1735" s="565">
        <v>9000000</v>
      </c>
      <c r="L1735" s="194" t="s">
        <v>8</v>
      </c>
      <c r="M1735" s="566" t="s">
        <v>24</v>
      </c>
      <c r="N1735" s="52" t="str">
        <f>IF(AND('331-CT'!$E$7=TH!H1735,OR(L1735="331",M1735="331")),"331",IF(AND(OR(L1735="131",M1735="131"),H1735='131-CT'!$E$7),"131",""))</f>
        <v/>
      </c>
      <c r="O1735" s="857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2"/>
      <c r="AC1735" s="557"/>
      <c r="AD1735" s="557"/>
    </row>
    <row r="1736" spans="1:30" s="211" customFormat="1" ht="15.75" customHeight="1">
      <c r="A1736" s="204" t="str">
        <f>IF(B1736&lt;&gt;"",IF(AND(B1736&gt;=_TM1,B1736&lt;=_TM2,OR(TH!L557="1111",TH!M557="1111")),TH!D557,""),"")</f>
        <v>GBN</v>
      </c>
      <c r="B1736" s="36">
        <f t="shared" si="85"/>
        <v>11</v>
      </c>
      <c r="C1736" s="184">
        <f t="shared" si="84"/>
        <v>42699</v>
      </c>
      <c r="D1736" s="184" t="s">
        <v>699</v>
      </c>
      <c r="E1736" s="191">
        <v>42699</v>
      </c>
      <c r="F1736" s="189" t="s">
        <v>702</v>
      </c>
      <c r="G1736" s="192" t="s">
        <v>332</v>
      </c>
      <c r="H1736" s="7"/>
      <c r="I1736" s="256"/>
      <c r="J1736" s="256"/>
      <c r="K1736" s="565">
        <v>13636</v>
      </c>
      <c r="L1736" s="566" t="s">
        <v>83</v>
      </c>
      <c r="M1736" s="566" t="s">
        <v>24</v>
      </c>
      <c r="N1736" s="52" t="str">
        <f>IF(AND('331-CT'!$E$7=TH!H1736,OR(L1736="331",M1736="331")),"331",IF(AND(OR(L1736="131",M1736="131"),H1736='131-CT'!$E$7),"131",""))</f>
        <v/>
      </c>
      <c r="O1736" s="857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1">
        <v>4</v>
      </c>
      <c r="AC1736" s="557"/>
    </row>
    <row r="1737" spans="1:30" s="211" customFormat="1" ht="15.75" customHeight="1">
      <c r="A1737" s="204">
        <f>IF(B1737&lt;&gt;"",IF(AND(B1737&gt;=_TM1,B1737&lt;=_TM2,OR(TH!L558="1111",TH!M558="1111")),TH!D558,""),"")</f>
        <v>0</v>
      </c>
      <c r="B1737" s="36">
        <f t="shared" si="85"/>
        <v>11</v>
      </c>
      <c r="C1737" s="184">
        <f t="shared" si="84"/>
        <v>42699</v>
      </c>
      <c r="D1737" s="184" t="s">
        <v>699</v>
      </c>
      <c r="E1737" s="191">
        <v>42699</v>
      </c>
      <c r="F1737" s="189" t="s">
        <v>793</v>
      </c>
      <c r="G1737" s="192" t="s">
        <v>332</v>
      </c>
      <c r="H1737" s="193"/>
      <c r="I1737" s="256"/>
      <c r="J1737" s="256"/>
      <c r="K1737" s="565">
        <v>1364</v>
      </c>
      <c r="L1737" s="194" t="s">
        <v>9</v>
      </c>
      <c r="M1737" s="566" t="s">
        <v>24</v>
      </c>
      <c r="N1737" s="52" t="str">
        <f>IF(AND('331-CT'!$E$7=TH!H1737,OR(L1737="331",M1737="331")),"331",IF(AND(OR(L1737="131",M1737="131"),H1737='131-CT'!$E$7),"131",""))</f>
        <v/>
      </c>
      <c r="O1737" s="857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1">
        <v>4</v>
      </c>
      <c r="AC1737" s="557"/>
      <c r="AD1737" s="557"/>
    </row>
    <row r="1738" spans="1:30" s="211" customFormat="1" ht="15.75" customHeight="1">
      <c r="A1738" s="204">
        <f>IF(B1738&lt;&gt;"",IF(AND(B1738&gt;=_TM1,B1738&lt;=_TM2,OR(TH!L559="1111",TH!M559="1111")),TH!D559,""),"")</f>
        <v>0</v>
      </c>
      <c r="B1738" s="36">
        <f t="shared" si="85"/>
        <v>11</v>
      </c>
      <c r="C1738" s="184">
        <f t="shared" si="84"/>
        <v>42699</v>
      </c>
      <c r="D1738" s="184" t="s">
        <v>699</v>
      </c>
      <c r="E1738" s="191">
        <v>42699</v>
      </c>
      <c r="F1738" s="192" t="s">
        <v>701</v>
      </c>
      <c r="G1738" s="192" t="s">
        <v>332</v>
      </c>
      <c r="H1738" s="7"/>
      <c r="I1738" s="256"/>
      <c r="J1738" s="256"/>
      <c r="K1738" s="565">
        <v>10000000</v>
      </c>
      <c r="L1738" s="194" t="s">
        <v>8</v>
      </c>
      <c r="M1738" s="566" t="s">
        <v>24</v>
      </c>
      <c r="N1738" s="52" t="str">
        <f>IF(AND('331-CT'!$E$7=TH!H1738,OR(L1738="331",M1738="331")),"331",IF(AND(OR(L1738="131",M1738="131"),H1738='131-CT'!$E$7),"131",""))</f>
        <v/>
      </c>
      <c r="O1738" s="857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2"/>
      <c r="AC1738" s="557"/>
    </row>
    <row r="1739" spans="1:30" s="211" customFormat="1" ht="15.75" customHeight="1">
      <c r="A1739" s="204" t="str">
        <f>IF(B1739&lt;&gt;"",IF(AND(B1739&gt;=_TM1,B1739&lt;=_TM2,OR(TH!L560="1111",TH!M560="1111")),TH!D560,""),"")</f>
        <v/>
      </c>
      <c r="B1739" s="36">
        <f t="shared" si="85"/>
        <v>11</v>
      </c>
      <c r="C1739" s="184">
        <f t="shared" si="84"/>
        <v>42699</v>
      </c>
      <c r="D1739" s="184" t="s">
        <v>699</v>
      </c>
      <c r="E1739" s="191">
        <v>42699</v>
      </c>
      <c r="F1739" s="189" t="s">
        <v>702</v>
      </c>
      <c r="G1739" s="192" t="s">
        <v>332</v>
      </c>
      <c r="H1739" s="193"/>
      <c r="I1739" s="256"/>
      <c r="J1739" s="256"/>
      <c r="K1739" s="565">
        <v>13636</v>
      </c>
      <c r="L1739" s="566" t="s">
        <v>83</v>
      </c>
      <c r="M1739" s="566" t="s">
        <v>24</v>
      </c>
      <c r="N1739" s="52" t="str">
        <f>IF(AND('331-CT'!$E$7=TH!H1739,OR(L1739="331",M1739="331")),"331",IF(AND(OR(L1739="131",M1739="131"),H1739='131-CT'!$E$7),"131",""))</f>
        <v/>
      </c>
      <c r="O1739" s="857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1">
        <v>4</v>
      </c>
      <c r="AC1739" s="557"/>
      <c r="AD1739" s="557"/>
    </row>
    <row r="1740" spans="1:30" s="211" customFormat="1" ht="15.75" customHeight="1">
      <c r="A1740" s="204" t="str">
        <f>IF(B1740&lt;&gt;"",IF(AND(B1740&gt;=_TM1,B1740&lt;=_TM2,OR(TH!L561="1111",TH!M561="1111")),TH!D561,""),"")</f>
        <v/>
      </c>
      <c r="B1740" s="36">
        <f t="shared" si="85"/>
        <v>11</v>
      </c>
      <c r="C1740" s="184">
        <f t="shared" si="84"/>
        <v>42699</v>
      </c>
      <c r="D1740" s="184" t="s">
        <v>699</v>
      </c>
      <c r="E1740" s="191">
        <v>42699</v>
      </c>
      <c r="F1740" s="189" t="s">
        <v>793</v>
      </c>
      <c r="G1740" s="192" t="s">
        <v>332</v>
      </c>
      <c r="H1740" s="7"/>
      <c r="I1740" s="256"/>
      <c r="J1740" s="256"/>
      <c r="K1740" s="565">
        <v>1364</v>
      </c>
      <c r="L1740" s="194" t="s">
        <v>9</v>
      </c>
      <c r="M1740" s="566" t="s">
        <v>24</v>
      </c>
      <c r="N1740" s="52" t="str">
        <f>IF(AND('331-CT'!$E$7=TH!H1740,OR(L1740="331",M1740="331")),"331",IF(AND(OR(L1740="131",M1740="131"),H1740='131-CT'!$E$7),"131",""))</f>
        <v/>
      </c>
      <c r="O1740" s="857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1">
        <v>4</v>
      </c>
      <c r="AC1740" s="557"/>
    </row>
    <row r="1741" spans="1:30" s="211" customFormat="1" ht="15.75" customHeight="1">
      <c r="A1741" s="204" t="str">
        <f>IF(B1741&lt;&gt;"",IF(AND(B1741&gt;=_TM1,B1741&lt;=_TM2,OR(TH!L646="1111",TH!M646="1111")),TH!D646,""),"")</f>
        <v>GBN</v>
      </c>
      <c r="B1741" s="36">
        <f t="shared" si="85"/>
        <v>11</v>
      </c>
      <c r="C1741" s="184">
        <f t="shared" si="84"/>
        <v>42699</v>
      </c>
      <c r="D1741" s="184" t="s">
        <v>699</v>
      </c>
      <c r="E1741" s="191">
        <v>42699</v>
      </c>
      <c r="F1741" s="192" t="s">
        <v>696</v>
      </c>
      <c r="G1741" s="192" t="s">
        <v>1318</v>
      </c>
      <c r="H1741" s="193" t="s">
        <v>1359</v>
      </c>
      <c r="I1741" s="256"/>
      <c r="J1741" s="256"/>
      <c r="K1741" s="565">
        <v>3327720</v>
      </c>
      <c r="L1741" s="566" t="s">
        <v>24</v>
      </c>
      <c r="M1741" s="566" t="s">
        <v>259</v>
      </c>
      <c r="N1741" s="52" t="str">
        <f>IF(AND('331-CT'!$E$7=TH!H1741,OR(L1741="331",M1741="331")),"331",IF(AND(OR(L1741="131",M1741="131"),H1741='131-CT'!$E$7),"131",""))</f>
        <v/>
      </c>
      <c r="O1741" s="857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2"/>
      <c r="AC1741" s="557"/>
      <c r="AD1741" s="557"/>
    </row>
    <row r="1742" spans="1:30" s="211" customFormat="1" ht="15.75" customHeight="1">
      <c r="A1742" s="204" t="str">
        <f>IF(B1742&lt;&gt;"",IF(AND(B1742&gt;=_TM1,B1742&lt;=_TM2,OR(TH!L1820="1111",TH!M1820="1111")),TH!D1820,""),"")</f>
        <v/>
      </c>
      <c r="B1742" s="36">
        <f t="shared" si="85"/>
        <v>11</v>
      </c>
      <c r="C1742" s="184">
        <f t="shared" si="84"/>
        <v>42699</v>
      </c>
      <c r="D1742" s="184" t="s">
        <v>1153</v>
      </c>
      <c r="E1742" s="191">
        <v>42699</v>
      </c>
      <c r="F1742" s="192" t="s">
        <v>1474</v>
      </c>
      <c r="G1742" s="456" t="s">
        <v>1435</v>
      </c>
      <c r="H1742" s="7" t="s">
        <v>429</v>
      </c>
      <c r="I1742" s="257">
        <v>520</v>
      </c>
      <c r="J1742" s="257">
        <v>10500</v>
      </c>
      <c r="K1742" s="38">
        <f>ROUND(I1742*J1742,0)</f>
        <v>5460000</v>
      </c>
      <c r="L1742" s="194" t="s">
        <v>259</v>
      </c>
      <c r="M1742" s="194" t="s">
        <v>174</v>
      </c>
      <c r="N1742" s="52" t="str">
        <f>IF(AND('331-CT'!$E$7=TH!H1742,OR(L1742="331",M1742="331")),"331",IF(AND(OR(L1742="131",M1742="131"),H1742='131-CT'!$E$7),"131",""))</f>
        <v/>
      </c>
      <c r="O1742" s="857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1"/>
      <c r="AC1742" s="557" t="str">
        <f>IF(VLOOKUP(F1742,NXT!$C$35:$C$411,1,0)=F1742,"","x")</f>
        <v/>
      </c>
    </row>
    <row r="1743" spans="1:30" s="211" customFormat="1" ht="15.75" customHeight="1">
      <c r="A1743" s="204" t="str">
        <f>IF(B1743&lt;&gt;"",IF(AND(B1743&gt;=_TM1,B1743&lt;=_TM2,OR(TH!L1821="1111",TH!M1821="1111")),TH!D1821,""),"")</f>
        <v/>
      </c>
      <c r="B1743" s="36">
        <f t="shared" si="85"/>
        <v>11</v>
      </c>
      <c r="C1743" s="184">
        <f t="shared" si="84"/>
        <v>42699</v>
      </c>
      <c r="D1743" s="184" t="s">
        <v>1153</v>
      </c>
      <c r="E1743" s="191">
        <v>42699</v>
      </c>
      <c r="F1743" s="192" t="s">
        <v>1474</v>
      </c>
      <c r="G1743" s="456" t="s">
        <v>1435</v>
      </c>
      <c r="H1743" s="7" t="s">
        <v>429</v>
      </c>
      <c r="I1743" s="257">
        <v>506</v>
      </c>
      <c r="J1743" s="257">
        <v>10500</v>
      </c>
      <c r="K1743" s="38">
        <f>ROUND(I1743*J1743,0)</f>
        <v>5313000</v>
      </c>
      <c r="L1743" s="194" t="s">
        <v>259</v>
      </c>
      <c r="M1743" s="194" t="s">
        <v>174</v>
      </c>
      <c r="N1743" s="52" t="str">
        <f>IF(AND('331-CT'!$E$7=TH!H1743,OR(L1743="331",M1743="331")),"331",IF(AND(OR(L1743="131",M1743="131"),H1743='131-CT'!$E$7),"131",""))</f>
        <v/>
      </c>
      <c r="O1743" s="857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1"/>
      <c r="AC1743" s="557" t="str">
        <f>IF(VLOOKUP(F1743,NXT!$C$35:$C$411,1,0)=F1743,"","x")</f>
        <v/>
      </c>
      <c r="AD1743" s="557"/>
    </row>
    <row r="1744" spans="1:30" s="211" customFormat="1" ht="15.75" customHeight="1">
      <c r="A1744" s="204" t="str">
        <f>IF(B1744&lt;&gt;"",IF(AND(B1744&gt;=_TM1,B1744&lt;=_TM2,OR(TH!L1822="1111",TH!M1822="1111")),TH!D1822,""),"")</f>
        <v/>
      </c>
      <c r="B1744" s="36">
        <f t="shared" si="85"/>
        <v>11</v>
      </c>
      <c r="C1744" s="184">
        <f t="shared" si="84"/>
        <v>42699</v>
      </c>
      <c r="D1744" s="184" t="s">
        <v>1153</v>
      </c>
      <c r="E1744" s="191">
        <v>42699</v>
      </c>
      <c r="F1744" s="40" t="s">
        <v>1285</v>
      </c>
      <c r="G1744" s="456" t="s">
        <v>1435</v>
      </c>
      <c r="H1744" s="7" t="s">
        <v>429</v>
      </c>
      <c r="I1744" s="257"/>
      <c r="J1744" s="257"/>
      <c r="K1744" s="38">
        <v>1077300</v>
      </c>
      <c r="L1744" s="194" t="s">
        <v>259</v>
      </c>
      <c r="M1744" s="194" t="s">
        <v>370</v>
      </c>
      <c r="N1744" s="52" t="str">
        <f>IF(AND('331-CT'!$E$7=TH!H1744,OR(L1744="331",M1744="331")),"331",IF(AND(OR(L1744="131",M1744="131"),H1744='131-CT'!$E$7),"131",""))</f>
        <v/>
      </c>
      <c r="O1744" s="857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1"/>
      <c r="AC1744" s="557"/>
      <c r="AD1744" s="557"/>
    </row>
    <row r="1745" spans="1:30" s="211" customFormat="1" ht="15.75" customHeight="1">
      <c r="A1745" s="204" t="str">
        <f>IF(B1745&lt;&gt;"",IF(AND(B1745&gt;=_TM1,B1745&lt;=_TM2,OR(TH!L1823="1111",TH!M1823="1111")),TH!D1823,""),"")</f>
        <v/>
      </c>
      <c r="B1745" s="36">
        <f t="shared" si="85"/>
        <v>11</v>
      </c>
      <c r="C1745" s="184">
        <f t="shared" si="84"/>
        <v>42699</v>
      </c>
      <c r="D1745" s="184" t="s">
        <v>1154</v>
      </c>
      <c r="E1745" s="191">
        <v>42699</v>
      </c>
      <c r="F1745" s="40" t="s">
        <v>1409</v>
      </c>
      <c r="G1745" s="456" t="s">
        <v>1436</v>
      </c>
      <c r="H1745" s="193" t="s">
        <v>1359</v>
      </c>
      <c r="I1745" s="257">
        <v>131</v>
      </c>
      <c r="J1745" s="257">
        <v>13600</v>
      </c>
      <c r="K1745" s="38">
        <f>ROUND(I1745*J1745,0)</f>
        <v>1781600</v>
      </c>
      <c r="L1745" s="194" t="s">
        <v>259</v>
      </c>
      <c r="M1745" s="194" t="s">
        <v>174</v>
      </c>
      <c r="N1745" s="52" t="str">
        <f>IF(AND('331-CT'!$E$7=TH!H1745,OR(L1745="331",M1745="331")),"331",IF(AND(OR(L1745="131",M1745="131"),H1745='131-CT'!$E$7),"131",""))</f>
        <v/>
      </c>
      <c r="O1745" s="857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1"/>
      <c r="AC1745" s="557" t="str">
        <f>IF(VLOOKUP(F1745,NXT!$C$35:$C$411,1,0)=F1745,"","x")</f>
        <v/>
      </c>
    </row>
    <row r="1746" spans="1:30" s="211" customFormat="1" ht="15.75" customHeight="1">
      <c r="A1746" s="204" t="str">
        <f>IF(B1746&lt;&gt;"",IF(AND(B1746&gt;=_TM1,B1746&lt;=_TM2,OR(TH!L1824="1111",TH!M1824="1111")),TH!D1824,""),"")</f>
        <v/>
      </c>
      <c r="B1746" s="36">
        <f t="shared" si="85"/>
        <v>11</v>
      </c>
      <c r="C1746" s="184">
        <f t="shared" si="84"/>
        <v>42699</v>
      </c>
      <c r="D1746" s="184" t="s">
        <v>1154</v>
      </c>
      <c r="E1746" s="191">
        <v>42699</v>
      </c>
      <c r="F1746" s="40" t="s">
        <v>1437</v>
      </c>
      <c r="G1746" s="456" t="s">
        <v>1436</v>
      </c>
      <c r="H1746" s="193" t="s">
        <v>1359</v>
      </c>
      <c r="I1746" s="257">
        <v>156</v>
      </c>
      <c r="J1746" s="257">
        <v>7200</v>
      </c>
      <c r="K1746" s="38">
        <f>ROUND(I1746*J1746,0)</f>
        <v>1123200</v>
      </c>
      <c r="L1746" s="194" t="s">
        <v>259</v>
      </c>
      <c r="M1746" s="194" t="s">
        <v>174</v>
      </c>
      <c r="N1746" s="52" t="str">
        <f>IF(AND('331-CT'!$E$7=TH!H1746,OR(L1746="331",M1746="331")),"331",IF(AND(OR(L1746="131",M1746="131"),H1746='131-CT'!$E$7),"131",""))</f>
        <v/>
      </c>
      <c r="O1746" s="857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1"/>
      <c r="AC1746" s="557" t="str">
        <f>IF(VLOOKUP(F1746,NXT!$C$35:$C$411,1,0)=F1746,"","x")</f>
        <v/>
      </c>
      <c r="AD1746" s="557"/>
    </row>
    <row r="1747" spans="1:30" s="211" customFormat="1" ht="15.75" customHeight="1">
      <c r="A1747" s="204" t="str">
        <f>IF(B1747&lt;&gt;"",IF(AND(B1747&gt;=_TM1,B1747&lt;=_TM2,OR(TH!L1825="1111",TH!M1825="1111")),TH!D1825,""),"")</f>
        <v/>
      </c>
      <c r="B1747" s="36">
        <f t="shared" si="85"/>
        <v>11</v>
      </c>
      <c r="C1747" s="184">
        <f t="shared" si="84"/>
        <v>42699</v>
      </c>
      <c r="D1747" s="184" t="s">
        <v>1154</v>
      </c>
      <c r="E1747" s="191">
        <v>42699</v>
      </c>
      <c r="F1747" s="40" t="s">
        <v>1285</v>
      </c>
      <c r="G1747" s="456" t="s">
        <v>1436</v>
      </c>
      <c r="H1747" s="193" t="s">
        <v>1359</v>
      </c>
      <c r="I1747" s="257"/>
      <c r="J1747" s="257"/>
      <c r="K1747" s="38">
        <v>290480</v>
      </c>
      <c r="L1747" s="194" t="s">
        <v>259</v>
      </c>
      <c r="M1747" s="194" t="s">
        <v>370</v>
      </c>
      <c r="N1747" s="52" t="str">
        <f>IF(AND('331-CT'!$E$7=TH!H1747,OR(L1747="331",M1747="331")),"331",IF(AND(OR(L1747="131",M1747="131"),H1747='131-CT'!$E$7),"131",""))</f>
        <v/>
      </c>
      <c r="O1747" s="857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1"/>
      <c r="AC1747" s="557"/>
    </row>
    <row r="1748" spans="1:30" s="211" customFormat="1" ht="15.75" customHeight="1">
      <c r="A1748" s="204" t="str">
        <f>IF(B1748&lt;&gt;"",IF(AND(B1748&gt;=_TM1,B1748&lt;=_TM2,OR(TH!L1826="1111",TH!M1826="1111")),TH!D1826,""),"")</f>
        <v/>
      </c>
      <c r="B1748" s="36">
        <f t="shared" si="85"/>
        <v>11</v>
      </c>
      <c r="C1748" s="184">
        <f t="shared" si="84"/>
        <v>42699</v>
      </c>
      <c r="D1748" s="184" t="s">
        <v>1155</v>
      </c>
      <c r="E1748" s="191">
        <v>42699</v>
      </c>
      <c r="F1748" s="40" t="s">
        <v>1439</v>
      </c>
      <c r="G1748" s="456" t="s">
        <v>1438</v>
      </c>
      <c r="H1748" s="193" t="s">
        <v>1359</v>
      </c>
      <c r="I1748" s="257">
        <v>23</v>
      </c>
      <c r="J1748" s="257">
        <v>13200</v>
      </c>
      <c r="K1748" s="38">
        <f>ROUND(I1748*J1748,0)</f>
        <v>303600</v>
      </c>
      <c r="L1748" s="194" t="s">
        <v>259</v>
      </c>
      <c r="M1748" s="194" t="s">
        <v>174</v>
      </c>
      <c r="N1748" s="52" t="str">
        <f>IF(AND('331-CT'!$E$7=TH!H1748,OR(L1748="331",M1748="331")),"331",IF(AND(OR(L1748="131",M1748="131"),H1748='131-CT'!$E$7),"131",""))</f>
        <v/>
      </c>
      <c r="O1748" s="857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1"/>
      <c r="AC1748" s="557" t="str">
        <f>IF(VLOOKUP(F1748,NXT!$C$35:$C$411,1,0)=F1748,"","x")</f>
        <v/>
      </c>
      <c r="AD1748" s="557"/>
    </row>
    <row r="1749" spans="1:30" s="211" customFormat="1" ht="15.75" customHeight="1">
      <c r="A1749" s="204" t="str">
        <f>IF(B1749&lt;&gt;"",IF(AND(B1749&gt;=_TM1,B1749&lt;=_TM2,OR(TH!L1827="1111",TH!M1827="1111")),TH!D1827,""),"")</f>
        <v/>
      </c>
      <c r="B1749" s="36">
        <f t="shared" si="85"/>
        <v>11</v>
      </c>
      <c r="C1749" s="184">
        <f t="shared" si="84"/>
        <v>42699</v>
      </c>
      <c r="D1749" s="184" t="s">
        <v>1155</v>
      </c>
      <c r="E1749" s="191">
        <v>42699</v>
      </c>
      <c r="F1749" s="40" t="s">
        <v>1440</v>
      </c>
      <c r="G1749" s="456" t="s">
        <v>1438</v>
      </c>
      <c r="H1749" s="193" t="s">
        <v>1359</v>
      </c>
      <c r="I1749" s="257">
        <v>500</v>
      </c>
      <c r="J1749" s="257">
        <v>7300</v>
      </c>
      <c r="K1749" s="38">
        <f>ROUND(I1749*J1749,0)</f>
        <v>3650000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57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1"/>
      <c r="AC1749" s="557" t="str">
        <f>IF(VLOOKUP(F1749,NXT!$C$35:$C$411,1,0)=F1749,"","x")</f>
        <v/>
      </c>
      <c r="AD1749" s="557"/>
    </row>
    <row r="1750" spans="1:30" s="211" customFormat="1" ht="15.75" customHeight="1">
      <c r="A1750" s="204" t="str">
        <f>IF(B1750&lt;&gt;"",IF(AND(B1750&gt;=_TM1,B1750&lt;=_TM2,OR(TH!L1828="1111",TH!M1828="1111")),TH!D1828,""),"")</f>
        <v/>
      </c>
      <c r="B1750" s="36">
        <f t="shared" si="85"/>
        <v>11</v>
      </c>
      <c r="C1750" s="184">
        <f t="shared" si="84"/>
        <v>42699</v>
      </c>
      <c r="D1750" s="184" t="s">
        <v>1155</v>
      </c>
      <c r="E1750" s="191">
        <v>42699</v>
      </c>
      <c r="F1750" s="40" t="s">
        <v>1285</v>
      </c>
      <c r="G1750" s="456" t="s">
        <v>1438</v>
      </c>
      <c r="H1750" s="193" t="s">
        <v>1359</v>
      </c>
      <c r="I1750" s="257"/>
      <c r="J1750" s="257"/>
      <c r="K1750" s="38">
        <v>395360</v>
      </c>
      <c r="L1750" s="194" t="s">
        <v>259</v>
      </c>
      <c r="M1750" s="194" t="s">
        <v>370</v>
      </c>
      <c r="N1750" s="52" t="str">
        <f>IF(AND('331-CT'!$E$7=TH!H1750,OR(L1750="331",M1750="331")),"331",IF(AND(OR(L1750="131",M1750="131"),H1750='131-CT'!$E$7),"131",""))</f>
        <v/>
      </c>
      <c r="O1750" s="857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1"/>
      <c r="AC1750" s="557"/>
    </row>
    <row r="1751" spans="1:30" s="211" customFormat="1" ht="15.75" customHeight="1">
      <c r="A1751" s="204" t="str">
        <f>IF(B1751&lt;&gt;"",IF(AND(B1751&gt;=_TM1,B1751&lt;=_TM2,OR(TH!L1829="1111",TH!M1829="1111")),TH!D1829,""),"")</f>
        <v/>
      </c>
      <c r="B1751" s="36">
        <f t="shared" si="85"/>
        <v>11</v>
      </c>
      <c r="C1751" s="184">
        <f t="shared" si="84"/>
        <v>42700</v>
      </c>
      <c r="D1751" s="184" t="s">
        <v>1156</v>
      </c>
      <c r="E1751" s="191">
        <v>42700</v>
      </c>
      <c r="F1751" s="40" t="s">
        <v>1443</v>
      </c>
      <c r="G1751" s="456" t="s">
        <v>1441</v>
      </c>
      <c r="H1751" s="193" t="s">
        <v>1387</v>
      </c>
      <c r="I1751" s="257">
        <v>5772</v>
      </c>
      <c r="J1751" s="257">
        <v>250</v>
      </c>
      <c r="K1751" s="38">
        <f>ROUND(I1751*J1751,0)</f>
        <v>1443000</v>
      </c>
      <c r="L1751" s="194" t="s">
        <v>259</v>
      </c>
      <c r="M1751" s="194" t="s">
        <v>1392</v>
      </c>
      <c r="N1751" s="52" t="str">
        <f>IF(AND('331-CT'!$E$7=TH!H1751,OR(L1751="331",M1751="331")),"331",IF(AND(OR(L1751="131",M1751="131"),H1751='131-CT'!$E$7),"131",""))</f>
        <v/>
      </c>
      <c r="O1751" s="857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1"/>
      <c r="AC1751" s="557"/>
      <c r="AD1751" s="557"/>
    </row>
    <row r="1752" spans="1:30" s="211" customFormat="1" ht="15.75" customHeight="1">
      <c r="A1752" s="204" t="str">
        <f>IF(B1752&lt;&gt;"",IF(AND(B1752&gt;=_TM1,B1752&lt;=_TM2,OR(TH!L1830="1111",TH!M1830="1111")),TH!D1830,""),"")</f>
        <v/>
      </c>
      <c r="B1752" s="36">
        <f t="shared" si="85"/>
        <v>11</v>
      </c>
      <c r="C1752" s="184">
        <f t="shared" si="84"/>
        <v>42700</v>
      </c>
      <c r="D1752" s="184" t="s">
        <v>1156</v>
      </c>
      <c r="E1752" s="191">
        <v>42700</v>
      </c>
      <c r="F1752" s="40" t="s">
        <v>1444</v>
      </c>
      <c r="G1752" s="456" t="s">
        <v>1441</v>
      </c>
      <c r="H1752" s="193" t="s">
        <v>1387</v>
      </c>
      <c r="I1752" s="257">
        <v>3983</v>
      </c>
      <c r="J1752" s="257">
        <v>250</v>
      </c>
      <c r="K1752" s="38">
        <f>ROUND(I1752*J1752,0)</f>
        <v>995750</v>
      </c>
      <c r="L1752" s="194" t="s">
        <v>259</v>
      </c>
      <c r="M1752" s="194" t="s">
        <v>1392</v>
      </c>
      <c r="N1752" s="52" t="str">
        <f>IF(AND('331-CT'!$E$7=TH!H1752,OR(L1752="331",M1752="331")),"331",IF(AND(OR(L1752="131",M1752="131"),H1752='131-CT'!$E$7),"131",""))</f>
        <v/>
      </c>
      <c r="O1752" s="857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1"/>
      <c r="AC1752" s="557"/>
      <c r="AD1752" s="557"/>
    </row>
    <row r="1753" spans="1:30" s="211" customFormat="1" ht="15.75" customHeight="1">
      <c r="A1753" s="204" t="str">
        <f>IF(B1753&lt;&gt;"",IF(AND(B1753&gt;=_TM1,B1753&lt;=_TM2,OR(TH!L1831="1111",TH!M1831="1111")),TH!D1831,""),"")</f>
        <v/>
      </c>
      <c r="B1753" s="36">
        <f t="shared" si="85"/>
        <v>11</v>
      </c>
      <c r="C1753" s="184">
        <f t="shared" si="84"/>
        <v>42700</v>
      </c>
      <c r="D1753" s="184" t="s">
        <v>1156</v>
      </c>
      <c r="E1753" s="191">
        <v>42700</v>
      </c>
      <c r="F1753" s="40" t="s">
        <v>1442</v>
      </c>
      <c r="G1753" s="456" t="s">
        <v>1441</v>
      </c>
      <c r="H1753" s="193" t="s">
        <v>1387</v>
      </c>
      <c r="I1753" s="257">
        <v>4073</v>
      </c>
      <c r="J1753" s="257">
        <v>250</v>
      </c>
      <c r="K1753" s="38">
        <f>ROUND(I1753*J1753,0)</f>
        <v>1018250</v>
      </c>
      <c r="L1753" s="194" t="s">
        <v>259</v>
      </c>
      <c r="M1753" s="194" t="s">
        <v>1392</v>
      </c>
      <c r="N1753" s="52" t="str">
        <f>IF(AND('331-CT'!$E$7=TH!H1753,OR(L1753="331",M1753="331")),"331",IF(AND(OR(L1753="131",M1753="131"),H1753='131-CT'!$E$7),"131",""))</f>
        <v/>
      </c>
      <c r="O1753" s="857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1"/>
      <c r="AC1753" s="557"/>
      <c r="AD1753" s="557"/>
    </row>
    <row r="1754" spans="1:30" s="211" customFormat="1" ht="15.75" customHeight="1">
      <c r="A1754" s="204" t="str">
        <f>IF(B1754&lt;&gt;"",IF(AND(B1754&gt;=_TM1,B1754&lt;=_TM2,OR(TH!L1832="1111",TH!M1832="1111")),TH!D1832,""),"")</f>
        <v/>
      </c>
      <c r="B1754" s="36">
        <f t="shared" si="85"/>
        <v>11</v>
      </c>
      <c r="C1754" s="184">
        <f t="shared" si="84"/>
        <v>42700</v>
      </c>
      <c r="D1754" s="184" t="s">
        <v>1156</v>
      </c>
      <c r="E1754" s="191">
        <v>42700</v>
      </c>
      <c r="F1754" s="40" t="s">
        <v>1391</v>
      </c>
      <c r="G1754" s="456" t="s">
        <v>1441</v>
      </c>
      <c r="H1754" s="193" t="s">
        <v>1387</v>
      </c>
      <c r="I1754" s="257"/>
      <c r="J1754" s="257"/>
      <c r="K1754" s="38">
        <v>345700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57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1"/>
      <c r="AC1754" s="557"/>
      <c r="AD1754" s="557"/>
    </row>
    <row r="1755" spans="1:30" s="211" customFormat="1" ht="15.75" customHeight="1">
      <c r="A1755" s="204" t="str">
        <f>IF(B1755&lt;&gt;"",IF(AND(B1755&gt;=_TM1,B1755&lt;=_TM2,OR(TH!L1833="1111",TH!M1833="1111")),TH!D1833,""),"")</f>
        <v/>
      </c>
      <c r="B1755" s="36">
        <f t="shared" si="85"/>
        <v>11</v>
      </c>
      <c r="C1755" s="184">
        <f t="shared" si="84"/>
        <v>42700</v>
      </c>
      <c r="D1755" s="184" t="s">
        <v>1157</v>
      </c>
      <c r="E1755" s="191">
        <v>42700</v>
      </c>
      <c r="F1755" s="192" t="s">
        <v>1477</v>
      </c>
      <c r="G1755" s="456" t="s">
        <v>1445</v>
      </c>
      <c r="H1755" s="7" t="s">
        <v>645</v>
      </c>
      <c r="I1755" s="257">
        <v>200</v>
      </c>
      <c r="J1755" s="257">
        <v>18300</v>
      </c>
      <c r="K1755" s="38">
        <f>ROUND(I1755*J1755,0)</f>
        <v>3660000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57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1"/>
      <c r="AC1755" s="557" t="str">
        <f>IF(VLOOKUP(F1755,NXT!$C$35:$C$411,1,0)=F1755,"","x")</f>
        <v/>
      </c>
    </row>
    <row r="1756" spans="1:30" s="211" customFormat="1" ht="15.75" customHeight="1">
      <c r="A1756" s="204" t="str">
        <f>IF(B1756&lt;&gt;"",IF(AND(B1756&gt;=_TM1,B1756&lt;=_TM2,OR(TH!L1834="1111",TH!M1834="1111")),TH!D1834,""),"")</f>
        <v/>
      </c>
      <c r="B1756" s="36">
        <f t="shared" si="85"/>
        <v>11</v>
      </c>
      <c r="C1756" s="184">
        <f t="shared" si="84"/>
        <v>42700</v>
      </c>
      <c r="D1756" s="184" t="s">
        <v>1157</v>
      </c>
      <c r="E1756" s="191">
        <v>42700</v>
      </c>
      <c r="F1756" s="40" t="s">
        <v>1285</v>
      </c>
      <c r="G1756" s="456" t="s">
        <v>1445</v>
      </c>
      <c r="H1756" s="7" t="s">
        <v>645</v>
      </c>
      <c r="I1756" s="257"/>
      <c r="J1756" s="257"/>
      <c r="K1756" s="38">
        <v>366000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57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1"/>
      <c r="AC1756" s="557"/>
      <c r="AD1756" s="557"/>
    </row>
    <row r="1757" spans="1:30" s="211" customFormat="1" ht="15.75" customHeight="1">
      <c r="A1757" s="204" t="str">
        <f>IF(B1757&lt;&gt;"",IF(AND(B1757&gt;=_TM1,B1757&lt;=_TM2,OR(TH!L1835="1111",TH!M1835="1111")),TH!D1835,""),"")</f>
        <v/>
      </c>
      <c r="B1757" s="36">
        <f t="shared" si="85"/>
        <v>11</v>
      </c>
      <c r="C1757" s="184">
        <f t="shared" si="84"/>
        <v>42700</v>
      </c>
      <c r="D1757" s="184" t="s">
        <v>1158</v>
      </c>
      <c r="E1757" s="191">
        <v>42700</v>
      </c>
      <c r="F1757" s="40" t="s">
        <v>1366</v>
      </c>
      <c r="G1757" s="456" t="s">
        <v>841</v>
      </c>
      <c r="H1757" s="7" t="s">
        <v>447</v>
      </c>
      <c r="I1757" s="257">
        <v>259</v>
      </c>
      <c r="J1757" s="257">
        <v>9800</v>
      </c>
      <c r="K1757" s="38">
        <f>ROUND(I1757*J1757,0)</f>
        <v>2538200</v>
      </c>
      <c r="L1757" s="194" t="s">
        <v>259</v>
      </c>
      <c r="M1757" s="194" t="s">
        <v>174</v>
      </c>
      <c r="N1757" s="52" t="str">
        <f>IF(AND('331-CT'!$E$7=TH!H1757,OR(L1757="331",M1757="331")),"331",IF(AND(OR(L1757="131",M1757="131"),H1757='131-CT'!$E$7),"131",""))</f>
        <v/>
      </c>
      <c r="O1757" s="857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1"/>
      <c r="AC1757" s="557" t="str">
        <f>IF(VLOOKUP(F1757,NXT!$C$35:$C$411,1,0)=F1757,"","x")</f>
        <v/>
      </c>
      <c r="AD1757" s="557"/>
    </row>
    <row r="1758" spans="1:30" s="211" customFormat="1" ht="15.75" customHeight="1">
      <c r="A1758" s="204">
        <f>IF(B1758&lt;&gt;"",IF(AND(B1758&gt;=_TM1,B1758&lt;=_TM2,OR(TH!L1836="1111",TH!M1836="1111")),TH!D1836,""),"")</f>
        <v>0</v>
      </c>
      <c r="B1758" s="36">
        <f t="shared" si="85"/>
        <v>11</v>
      </c>
      <c r="C1758" s="184">
        <f t="shared" si="84"/>
        <v>42700</v>
      </c>
      <c r="D1758" s="184" t="s">
        <v>1158</v>
      </c>
      <c r="E1758" s="191">
        <v>42700</v>
      </c>
      <c r="F1758" s="40" t="s">
        <v>1446</v>
      </c>
      <c r="G1758" s="456" t="s">
        <v>841</v>
      </c>
      <c r="H1758" s="7" t="s">
        <v>447</v>
      </c>
      <c r="I1758" s="257">
        <v>286</v>
      </c>
      <c r="J1758" s="257">
        <v>7900</v>
      </c>
      <c r="K1758" s="38">
        <f>ROUND(I1758*J1758,0)</f>
        <v>2259400</v>
      </c>
      <c r="L1758" s="194" t="s">
        <v>259</v>
      </c>
      <c r="M1758" s="194" t="s">
        <v>174</v>
      </c>
      <c r="N1758" s="52" t="str">
        <f>IF(AND('331-CT'!$E$7=TH!H1758,OR(L1758="331",M1758="331")),"331",IF(AND(OR(L1758="131",M1758="131"),H1758='131-CT'!$E$7),"131",""))</f>
        <v/>
      </c>
      <c r="O1758" s="857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91"/>
      <c r="AC1758" s="557" t="str">
        <f>IF(VLOOKUP(F1758,NXT!$C$35:$C$411,1,0)=F1758,"","x")</f>
        <v/>
      </c>
    </row>
    <row r="1759" spans="1:30" s="211" customFormat="1" ht="15.75" customHeight="1">
      <c r="A1759" s="204" t="str">
        <f>IF(B1759&lt;&gt;"",IF(AND(B1759&gt;=_TM1,B1759&lt;=_TM2,OR(TH!L1837="1111",TH!M1837="1111")),TH!D1837,""),"")</f>
        <v/>
      </c>
      <c r="B1759" s="36">
        <f t="shared" si="85"/>
        <v>11</v>
      </c>
      <c r="C1759" s="184">
        <f t="shared" si="84"/>
        <v>42700</v>
      </c>
      <c r="D1759" s="184" t="s">
        <v>1158</v>
      </c>
      <c r="E1759" s="191">
        <v>42700</v>
      </c>
      <c r="F1759" s="943" t="s">
        <v>1447</v>
      </c>
      <c r="G1759" s="456" t="s">
        <v>841</v>
      </c>
      <c r="H1759" s="7" t="s">
        <v>447</v>
      </c>
      <c r="I1759" s="257">
        <v>308</v>
      </c>
      <c r="J1759" s="257">
        <v>9400</v>
      </c>
      <c r="K1759" s="38">
        <f>ROUND(I1759*J1759,0)</f>
        <v>2895200</v>
      </c>
      <c r="L1759" s="194" t="s">
        <v>259</v>
      </c>
      <c r="M1759" s="194" t="s">
        <v>174</v>
      </c>
      <c r="N1759" s="52" t="str">
        <f>IF(AND('331-CT'!$E$7=TH!H1759,OR(L1759="331",M1759="331")),"331",IF(AND(OR(L1759="131",M1759="131"),H1759='131-CT'!$E$7),"131",""))</f>
        <v/>
      </c>
      <c r="O1759" s="857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91"/>
      <c r="AC1759" s="557" t="str">
        <f>IF(VLOOKUP(F1759,NXT!$C$35:$C$411,1,0)=F1759,"","x")</f>
        <v/>
      </c>
      <c r="AD1759" s="557"/>
    </row>
    <row r="1760" spans="1:30" s="211" customFormat="1" ht="15.75" customHeight="1">
      <c r="A1760" s="204" t="str">
        <f>IF(B1760&lt;&gt;"",IF(AND(B1760&gt;=_TM1,B1760&lt;=_TM2,OR(TH!L1838="1111",TH!M1838="1111")),TH!D1838,""),"")</f>
        <v/>
      </c>
      <c r="B1760" s="36">
        <f t="shared" si="85"/>
        <v>11</v>
      </c>
      <c r="C1760" s="184">
        <f t="shared" si="84"/>
        <v>42700</v>
      </c>
      <c r="D1760" s="184" t="s">
        <v>1158</v>
      </c>
      <c r="E1760" s="191">
        <v>42700</v>
      </c>
      <c r="F1760" s="40" t="s">
        <v>1285</v>
      </c>
      <c r="G1760" s="456" t="s">
        <v>841</v>
      </c>
      <c r="H1760" s="7" t="s">
        <v>447</v>
      </c>
      <c r="I1760" s="257"/>
      <c r="J1760" s="257"/>
      <c r="K1760" s="38">
        <v>769280</v>
      </c>
      <c r="L1760" s="194" t="s">
        <v>259</v>
      </c>
      <c r="M1760" s="194" t="s">
        <v>370</v>
      </c>
      <c r="N1760" s="52" t="str">
        <f>IF(AND('331-CT'!$E$7=TH!H1760,OR(L1760="331",M1760="331")),"331",IF(AND(OR(L1760="131",M1760="131"),H1760='131-CT'!$E$7),"131",""))</f>
        <v/>
      </c>
      <c r="O1760" s="857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1"/>
      <c r="AC1760" s="557"/>
    </row>
    <row r="1761" spans="1:30" s="211" customFormat="1" ht="15.75" customHeight="1">
      <c r="A1761" s="204">
        <f>IF(B1761&lt;&gt;"",IF(AND(B1761&gt;=_TM1,B1761&lt;=_TM2,OR(TH!L1839="1111",TH!M1839="1111")),TH!D1839,""),"")</f>
        <v>0</v>
      </c>
      <c r="B1761" s="36">
        <f t="shared" si="85"/>
        <v>11</v>
      </c>
      <c r="C1761" s="184">
        <f t="shared" si="84"/>
        <v>42701</v>
      </c>
      <c r="D1761" s="184" t="s">
        <v>1159</v>
      </c>
      <c r="E1761" s="191">
        <v>42701</v>
      </c>
      <c r="F1761" s="40" t="s">
        <v>1449</v>
      </c>
      <c r="G1761" s="456" t="s">
        <v>1448</v>
      </c>
      <c r="H1761" s="193" t="s">
        <v>1359</v>
      </c>
      <c r="I1761" s="257">
        <v>48</v>
      </c>
      <c r="J1761" s="257">
        <v>14900</v>
      </c>
      <c r="K1761" s="38">
        <f>ROUND(I1761*J1761,0)</f>
        <v>715200</v>
      </c>
      <c r="L1761" s="194" t="s">
        <v>259</v>
      </c>
      <c r="M1761" s="194" t="s">
        <v>174</v>
      </c>
      <c r="N1761" s="52" t="str">
        <f>IF(AND('331-CT'!$E$7=TH!H1761,OR(L1761="331",M1761="331")),"331",IF(AND(OR(L1761="131",M1761="131"),H1761='131-CT'!$E$7),"131",""))</f>
        <v/>
      </c>
      <c r="O1761" s="857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1"/>
      <c r="AC1761" s="557" t="str">
        <f>IF(VLOOKUP(F1761,NXT!$C$35:$C$411,1,0)=F1761,"","x")</f>
        <v/>
      </c>
      <c r="AD1761" s="557"/>
    </row>
    <row r="1762" spans="1:30" s="211" customFormat="1" ht="15.75" customHeight="1">
      <c r="A1762" s="204" t="str">
        <f>IF(B1762&lt;&gt;"",IF(AND(B1762&gt;=_TM1,B1762&lt;=_TM2,OR(TH!L1840="1111",TH!M1840="1111")),TH!D1840,""),"")</f>
        <v/>
      </c>
      <c r="B1762" s="36">
        <f t="shared" si="85"/>
        <v>11</v>
      </c>
      <c r="C1762" s="184">
        <f t="shared" si="84"/>
        <v>42701</v>
      </c>
      <c r="D1762" s="184" t="s">
        <v>1159</v>
      </c>
      <c r="E1762" s="191">
        <v>42701</v>
      </c>
      <c r="F1762" s="40" t="s">
        <v>1285</v>
      </c>
      <c r="G1762" s="456" t="s">
        <v>1448</v>
      </c>
      <c r="H1762" s="193" t="s">
        <v>1359</v>
      </c>
      <c r="I1762" s="257"/>
      <c r="J1762" s="257"/>
      <c r="K1762" s="38">
        <v>71520</v>
      </c>
      <c r="L1762" s="194" t="s">
        <v>259</v>
      </c>
      <c r="M1762" s="194" t="s">
        <v>370</v>
      </c>
      <c r="N1762" s="52" t="str">
        <f>IF(AND('331-CT'!$E$7=TH!H1762,OR(L1762="331",M1762="331")),"331",IF(AND(OR(L1762="131",M1762="131"),H1762='131-CT'!$E$7),"131",""))</f>
        <v/>
      </c>
      <c r="O1762" s="857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1"/>
      <c r="AC1762" s="557"/>
      <c r="AD1762" s="557"/>
    </row>
    <row r="1763" spans="1:30" s="211" customFormat="1" ht="15.75" customHeight="1">
      <c r="A1763" s="204" t="s">
        <v>1501</v>
      </c>
      <c r="B1763" s="36">
        <f t="shared" si="85"/>
        <v>11</v>
      </c>
      <c r="C1763" s="184">
        <f t="shared" si="84"/>
        <v>42701</v>
      </c>
      <c r="D1763" s="184" t="s">
        <v>1160</v>
      </c>
      <c r="E1763" s="191">
        <v>42701</v>
      </c>
      <c r="F1763" s="40" t="s">
        <v>1505</v>
      </c>
      <c r="G1763" s="456" t="s">
        <v>1502</v>
      </c>
      <c r="H1763" s="193" t="s">
        <v>1503</v>
      </c>
      <c r="I1763" s="257">
        <v>4000</v>
      </c>
      <c r="J1763" s="257">
        <v>4500</v>
      </c>
      <c r="K1763" s="38">
        <f>ROUND(I1763*J1763,0)</f>
        <v>18000000</v>
      </c>
      <c r="L1763" s="194" t="s">
        <v>259</v>
      </c>
      <c r="M1763" s="194" t="s">
        <v>174</v>
      </c>
      <c r="N1763" s="52" t="str">
        <f>IF(AND('331-CT'!$E$7=TH!H1763,OR(L1763="331",M1763="331")),"331",IF(AND(OR(L1763="131",M1763="131"),H1763='131-CT'!$E$7),"131",""))</f>
        <v/>
      </c>
      <c r="O1763" s="857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1"/>
      <c r="AC1763" s="557" t="str">
        <f>IF(VLOOKUP(F1763,NXT!$C$35:$C$411,1,0)=F1763,"","x")</f>
        <v/>
      </c>
    </row>
    <row r="1764" spans="1:30" s="211" customFormat="1" ht="15.75" customHeight="1">
      <c r="A1764" s="204" t="str">
        <f>IF(B1764&lt;&gt;"",IF(AND(B1764&gt;=_TM1,B1764&lt;=_TM2,OR(TH!L1842="1111",TH!M1842="1111")),TH!D1842,""),"")</f>
        <v/>
      </c>
      <c r="B1764" s="36">
        <f t="shared" si="85"/>
        <v>11</v>
      </c>
      <c r="C1764" s="184">
        <f t="shared" si="84"/>
        <v>42701</v>
      </c>
      <c r="D1764" s="184" t="s">
        <v>1160</v>
      </c>
      <c r="E1764" s="191">
        <v>42701</v>
      </c>
      <c r="F1764" s="40" t="s">
        <v>1285</v>
      </c>
      <c r="G1764" s="456" t="s">
        <v>1502</v>
      </c>
      <c r="H1764" s="193" t="s">
        <v>1503</v>
      </c>
      <c r="I1764" s="257"/>
      <c r="J1764" s="257"/>
      <c r="K1764" s="38">
        <v>1800000</v>
      </c>
      <c r="L1764" s="194" t="s">
        <v>259</v>
      </c>
      <c r="M1764" s="194" t="s">
        <v>370</v>
      </c>
      <c r="N1764" s="52" t="str">
        <f>IF(AND('331-CT'!$E$7=TH!H1764,OR(L1764="331",M1764="331")),"331",IF(AND(OR(L1764="131",M1764="131"),H1764='131-CT'!$E$7),"131",""))</f>
        <v/>
      </c>
      <c r="O1764" s="857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1"/>
      <c r="AC1764" s="557"/>
      <c r="AD1764" s="557"/>
    </row>
    <row r="1765" spans="1:30" s="211" customFormat="1" ht="15.75" customHeight="1">
      <c r="A1765" s="204" t="str">
        <f>IF(B1765&lt;&gt;"",IF(AND(B1765&gt;=_TM1,B1765&lt;=_TM2,OR(TH!L1843="1111",TH!M1843="1111")),TH!D1843,""),"")</f>
        <v/>
      </c>
      <c r="B1765" s="36">
        <f t="shared" si="85"/>
        <v>11</v>
      </c>
      <c r="C1765" s="184">
        <f t="shared" si="84"/>
        <v>42701</v>
      </c>
      <c r="D1765" s="184"/>
      <c r="E1765" s="191">
        <v>42701</v>
      </c>
      <c r="F1765" s="40" t="s">
        <v>1504</v>
      </c>
      <c r="G1765" s="456" t="s">
        <v>1502</v>
      </c>
      <c r="H1765" s="193" t="s">
        <v>1503</v>
      </c>
      <c r="I1765" s="257"/>
      <c r="J1765" s="257"/>
      <c r="K1765" s="38">
        <v>19800000</v>
      </c>
      <c r="L1765" s="194" t="s">
        <v>47</v>
      </c>
      <c r="M1765" s="194" t="s">
        <v>259</v>
      </c>
      <c r="N1765" s="52" t="str">
        <f>IF(AND('331-CT'!$E$7=TH!H1765,OR(L1765="331",M1765="331")),"331",IF(AND(OR(L1765="131",M1765="131"),H1765='131-CT'!$E$7),"131",""))</f>
        <v/>
      </c>
      <c r="O1765" s="857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1"/>
      <c r="AC1765" s="557"/>
      <c r="AD1765" s="557"/>
    </row>
    <row r="1766" spans="1:30" s="211" customFormat="1" ht="15.75" customHeight="1">
      <c r="A1766" s="204" t="str">
        <f>IF(B1766&lt;&gt;"",IF(AND(B1766&gt;=_TM1,B1766&lt;=_TM2,OR(TH!L1613="1111",TH!M1613="1111")),TH!D1613,""),"")</f>
        <v/>
      </c>
      <c r="B1766" s="36">
        <f t="shared" si="85"/>
        <v>11</v>
      </c>
      <c r="C1766" s="184">
        <f t="shared" si="84"/>
        <v>42700</v>
      </c>
      <c r="D1766" s="184"/>
      <c r="E1766" s="191">
        <v>42700</v>
      </c>
      <c r="F1766" s="192" t="s">
        <v>1562</v>
      </c>
      <c r="G1766" s="456" t="s">
        <v>1564</v>
      </c>
      <c r="H1766" s="193" t="s">
        <v>1565</v>
      </c>
      <c r="I1766" s="257"/>
      <c r="J1766" s="257"/>
      <c r="K1766" s="38">
        <v>1135200</v>
      </c>
      <c r="L1766" s="194" t="s">
        <v>83</v>
      </c>
      <c r="M1766" s="194" t="s">
        <v>47</v>
      </c>
      <c r="N1766" s="52" t="str">
        <f>IF(AND('331-CT'!$E$7=TH!H1766,OR(L1766="331",M1766="331")),"331",IF(AND(OR(L1766="131",M1766="131"),H1766='131-CT'!$E$7),"131",""))</f>
        <v/>
      </c>
      <c r="O1766" s="857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790">
        <v>4</v>
      </c>
      <c r="AC1766" s="557"/>
      <c r="AD1766" s="557"/>
    </row>
    <row r="1767" spans="1:30" s="211" customFormat="1" ht="15.75" customHeight="1">
      <c r="A1767" s="204" t="str">
        <f>IF(B1767&lt;&gt;"",IF(AND(B1767&gt;=_TM1,B1767&lt;=_TM2,OR(TH!L1620="1111",TH!M1620="1111")),TH!D1620,""),"")</f>
        <v/>
      </c>
      <c r="B1767" s="36">
        <f t="shared" si="85"/>
        <v>11</v>
      </c>
      <c r="C1767" s="184">
        <f t="shared" si="84"/>
        <v>42700</v>
      </c>
      <c r="D1767" s="184"/>
      <c r="E1767" s="191">
        <v>42700</v>
      </c>
      <c r="F1767" s="192" t="s">
        <v>1563</v>
      </c>
      <c r="G1767" s="456" t="s">
        <v>1564</v>
      </c>
      <c r="H1767" s="193" t="s">
        <v>1565</v>
      </c>
      <c r="I1767" s="257"/>
      <c r="J1767" s="257"/>
      <c r="K1767" s="38">
        <v>113520</v>
      </c>
      <c r="L1767" s="194" t="s">
        <v>9</v>
      </c>
      <c r="M1767" s="194" t="s">
        <v>47</v>
      </c>
      <c r="N1767" s="52" t="str">
        <f>IF(AND('331-CT'!$E$7=TH!H1767,OR(L1767="331",M1767="331")),"331",IF(AND(OR(L1767="131",M1767="131"),H1767='131-CT'!$E$7),"131",""))</f>
        <v/>
      </c>
      <c r="O1767" s="857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790">
        <v>4</v>
      </c>
      <c r="AC1767" s="557"/>
      <c r="AD1767" s="557"/>
    </row>
    <row r="1768" spans="1:30" s="211" customFormat="1" ht="15.75" customHeight="1">
      <c r="A1768" s="204" t="str">
        <f>IF(B1768&lt;&gt;"",IF(AND(B1768&gt;=_TM1,B1768&lt;=_TM2,OR(TH!L1844="1111",TH!M1844="1111")),TH!D1844,""),"")</f>
        <v/>
      </c>
      <c r="B1768" s="36">
        <f t="shared" si="85"/>
        <v>11</v>
      </c>
      <c r="C1768" s="184">
        <f t="shared" si="84"/>
        <v>42702</v>
      </c>
      <c r="D1768" s="184" t="s">
        <v>1161</v>
      </c>
      <c r="E1768" s="191">
        <v>42702</v>
      </c>
      <c r="F1768" s="40" t="s">
        <v>1505</v>
      </c>
      <c r="G1768" s="456" t="s">
        <v>1506</v>
      </c>
      <c r="H1768" s="193" t="s">
        <v>1503</v>
      </c>
      <c r="I1768" s="257">
        <v>1700</v>
      </c>
      <c r="J1768" s="257">
        <v>4500</v>
      </c>
      <c r="K1768" s="38">
        <f>ROUND(I1768*J1768,0)</f>
        <v>7650000</v>
      </c>
      <c r="L1768" s="194" t="s">
        <v>259</v>
      </c>
      <c r="M1768" s="194" t="s">
        <v>174</v>
      </c>
      <c r="N1768" s="52" t="str">
        <f>IF(AND('331-CT'!$E$7=TH!H1768,OR(L1768="331",M1768="331")),"331",IF(AND(OR(L1768="131",M1768="131"),H1768='131-CT'!$E$7),"131",""))</f>
        <v/>
      </c>
      <c r="O1768" s="857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1"/>
      <c r="AC1768" s="557" t="str">
        <f>IF(VLOOKUP(F1768,NXT!$C$35:$C$411,1,0)=F1768,"","x")</f>
        <v/>
      </c>
    </row>
    <row r="1769" spans="1:30" s="211" customFormat="1" ht="15.75" customHeight="1">
      <c r="A1769" s="204" t="str">
        <f>IF(B1769&lt;&gt;"",IF(AND(B1769&gt;=_TM1,B1769&lt;=_TM2,OR(TH!L1845="1111",TH!M1845="1111")),TH!D1845,""),"")</f>
        <v/>
      </c>
      <c r="B1769" s="36">
        <f t="shared" si="85"/>
        <v>11</v>
      </c>
      <c r="C1769" s="184">
        <f t="shared" si="84"/>
        <v>42702</v>
      </c>
      <c r="D1769" s="184" t="s">
        <v>1161</v>
      </c>
      <c r="E1769" s="191">
        <v>42702</v>
      </c>
      <c r="F1769" s="40" t="s">
        <v>1285</v>
      </c>
      <c r="G1769" s="456" t="s">
        <v>1506</v>
      </c>
      <c r="H1769" s="193" t="s">
        <v>1503</v>
      </c>
      <c r="I1769" s="257"/>
      <c r="J1769" s="257"/>
      <c r="K1769" s="38">
        <v>765000</v>
      </c>
      <c r="L1769" s="194" t="s">
        <v>259</v>
      </c>
      <c r="M1769" s="194" t="s">
        <v>370</v>
      </c>
      <c r="N1769" s="52" t="str">
        <f>IF(AND('331-CT'!$E$7=TH!H1769,OR(L1769="331",M1769="331")),"331",IF(AND(OR(L1769="131",M1769="131"),H1769='131-CT'!$E$7),"131",""))</f>
        <v/>
      </c>
      <c r="O1769" s="857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1"/>
      <c r="AC1769" s="557"/>
      <c r="AD1769" s="557"/>
    </row>
    <row r="1770" spans="1:30" s="211" customFormat="1" ht="15.75" customHeight="1">
      <c r="A1770" s="204">
        <f>IF(B1770&lt;&gt;"",IF(AND(B1770&gt;=_TM1,B1770&lt;=_TM2,OR(TH!L1846="1111",TH!M1846="1111")),TH!D1846,""),"")</f>
        <v>0</v>
      </c>
      <c r="B1770" s="36">
        <f t="shared" si="85"/>
        <v>11</v>
      </c>
      <c r="C1770" s="184">
        <f t="shared" si="84"/>
        <v>42702</v>
      </c>
      <c r="D1770" s="184"/>
      <c r="E1770" s="191">
        <v>42702</v>
      </c>
      <c r="F1770" s="40" t="s">
        <v>1504</v>
      </c>
      <c r="G1770" s="456" t="s">
        <v>1506</v>
      </c>
      <c r="H1770" s="193" t="s">
        <v>1503</v>
      </c>
      <c r="I1770" s="257"/>
      <c r="J1770" s="257"/>
      <c r="K1770" s="38">
        <v>8415000</v>
      </c>
      <c r="L1770" s="194" t="s">
        <v>47</v>
      </c>
      <c r="M1770" s="194" t="s">
        <v>259</v>
      </c>
      <c r="N1770" s="52" t="str">
        <f>IF(AND('331-CT'!$E$7=TH!H1770,OR(L1770="331",M1770="331")),"331",IF(AND(OR(L1770="131",M1770="131"),H1770='131-CT'!$E$7),"131",""))</f>
        <v/>
      </c>
      <c r="O1770" s="857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1"/>
      <c r="AC1770" s="557"/>
    </row>
    <row r="1771" spans="1:30" s="211" customFormat="1" ht="15.75" customHeight="1">
      <c r="A1771" s="204" t="str">
        <f>IF(B1771&lt;&gt;"",IF(AND(B1771&gt;=_TM1,B1771&lt;=_TM2,OR(TH!L562="1111",TH!M562="1111")),TH!D562,""),"")</f>
        <v/>
      </c>
      <c r="B1771" s="36">
        <f t="shared" si="85"/>
        <v>11</v>
      </c>
      <c r="C1771" s="184">
        <f t="shared" si="84"/>
        <v>42703</v>
      </c>
      <c r="D1771" s="184" t="s">
        <v>699</v>
      </c>
      <c r="E1771" s="191">
        <v>42703</v>
      </c>
      <c r="F1771" s="192" t="s">
        <v>701</v>
      </c>
      <c r="G1771" s="192" t="s">
        <v>332</v>
      </c>
      <c r="H1771" s="7"/>
      <c r="I1771" s="256"/>
      <c r="J1771" s="256"/>
      <c r="K1771" s="565">
        <v>7000000</v>
      </c>
      <c r="L1771" s="194" t="s">
        <v>8</v>
      </c>
      <c r="M1771" s="566" t="s">
        <v>24</v>
      </c>
      <c r="N1771" s="52" t="str">
        <f>IF(AND('331-CT'!$E$7=TH!H1771,OR(L1771="331",M1771="331")),"331",IF(AND(OR(L1771="131",M1771="131"),H1771='131-CT'!$E$7),"131",""))</f>
        <v/>
      </c>
      <c r="O1771" s="857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2"/>
      <c r="AC1771" s="557"/>
      <c r="AD1771" s="557"/>
    </row>
    <row r="1772" spans="1:30" s="211" customFormat="1" ht="15.75" customHeight="1">
      <c r="A1772" s="204" t="str">
        <f>IF(B1772&lt;&gt;"",IF(AND(B1772&gt;=_TM1,B1772&lt;=_TM2,OR(TH!L563="1111",TH!M563="1111")),TH!D563,""),"")</f>
        <v>GBN</v>
      </c>
      <c r="B1772" s="36">
        <f t="shared" si="85"/>
        <v>11</v>
      </c>
      <c r="C1772" s="184">
        <f t="shared" si="84"/>
        <v>42703</v>
      </c>
      <c r="D1772" s="184" t="s">
        <v>699</v>
      </c>
      <c r="E1772" s="191">
        <v>42703</v>
      </c>
      <c r="F1772" s="189" t="s">
        <v>702</v>
      </c>
      <c r="G1772" s="192" t="s">
        <v>332</v>
      </c>
      <c r="H1772" s="7"/>
      <c r="I1772" s="256"/>
      <c r="J1772" s="256"/>
      <c r="K1772" s="565">
        <v>13636</v>
      </c>
      <c r="L1772" s="566" t="s">
        <v>83</v>
      </c>
      <c r="M1772" s="566" t="s">
        <v>24</v>
      </c>
      <c r="N1772" s="52" t="str">
        <f>IF(AND('331-CT'!$E$7=TH!H1772,OR(L1772="331",M1772="331")),"331",IF(AND(OR(L1772="131",M1772="131"),H1772='131-CT'!$E$7),"131",""))</f>
        <v/>
      </c>
      <c r="O1772" s="857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>x</v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1">
        <v>4</v>
      </c>
      <c r="AC1772" s="557"/>
    </row>
    <row r="1773" spans="1:30" s="211" customFormat="1" ht="15.75" customHeight="1">
      <c r="A1773" s="204" t="str">
        <f>IF(B1773&lt;&gt;"",IF(AND(B1773&gt;=_TM1,B1773&lt;=_TM2,OR(TH!L564="1111",TH!M564="1111")),TH!D564,""),"")</f>
        <v/>
      </c>
      <c r="B1773" s="36">
        <f t="shared" si="85"/>
        <v>11</v>
      </c>
      <c r="C1773" s="184">
        <f t="shared" si="84"/>
        <v>42703</v>
      </c>
      <c r="D1773" s="184" t="s">
        <v>699</v>
      </c>
      <c r="E1773" s="191">
        <v>42703</v>
      </c>
      <c r="F1773" s="189" t="s">
        <v>793</v>
      </c>
      <c r="G1773" s="192" t="s">
        <v>332</v>
      </c>
      <c r="H1773" s="193"/>
      <c r="I1773" s="256"/>
      <c r="J1773" s="256"/>
      <c r="K1773" s="565">
        <v>1364</v>
      </c>
      <c r="L1773" s="194" t="s">
        <v>9</v>
      </c>
      <c r="M1773" s="566" t="s">
        <v>24</v>
      </c>
      <c r="N1773" s="52" t="str">
        <f>IF(AND('331-CT'!$E$7=TH!H1773,OR(L1773="331",M1773="331")),"331",IF(AND(OR(L1773="131",M1773="131"),H1773='131-CT'!$E$7),"131",""))</f>
        <v/>
      </c>
      <c r="O1773" s="857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1">
        <v>4</v>
      </c>
      <c r="AC1773" s="557"/>
      <c r="AD1773" s="557"/>
    </row>
    <row r="1774" spans="1:30" s="211" customFormat="1" ht="15.75" customHeight="1">
      <c r="A1774" s="204" t="str">
        <f>IF(B1774&lt;&gt;"",IF(AND(B1774&gt;=_TM1,B1774&lt;=_TM2,OR(TH!L565="1111",TH!M565="1111")),TH!D565,""),"")</f>
        <v/>
      </c>
      <c r="B1774" s="36">
        <f t="shared" si="85"/>
        <v>11</v>
      </c>
      <c r="C1774" s="184">
        <f t="shared" si="84"/>
        <v>42703</v>
      </c>
      <c r="D1774" s="184" t="s">
        <v>699</v>
      </c>
      <c r="E1774" s="191">
        <v>42703</v>
      </c>
      <c r="F1774" s="192" t="s">
        <v>704</v>
      </c>
      <c r="G1774" s="192" t="s">
        <v>332</v>
      </c>
      <c r="H1774" s="7"/>
      <c r="I1774" s="256"/>
      <c r="J1774" s="256"/>
      <c r="K1774" s="565">
        <v>13636</v>
      </c>
      <c r="L1774" s="566" t="s">
        <v>83</v>
      </c>
      <c r="M1774" s="566" t="s">
        <v>24</v>
      </c>
      <c r="N1774" s="52" t="str">
        <f>IF(AND('331-CT'!$E$7=TH!H1774,OR(L1774="331",M1774="331")),"331",IF(AND(OR(L1774="131",M1774="131"),H1774='131-CT'!$E$7),"131",""))</f>
        <v/>
      </c>
      <c r="O1774" s="857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1">
        <v>4</v>
      </c>
      <c r="AC1774" s="557"/>
    </row>
    <row r="1775" spans="1:30" s="211" customFormat="1" ht="15.75" customHeight="1">
      <c r="A1775" s="204" t="str">
        <f>IF(B1775&lt;&gt;"",IF(AND(B1775&gt;=_TM1,B1775&lt;=_TM2,OR(TH!L566="1111",TH!M566="1111")),TH!D566,""),"")</f>
        <v/>
      </c>
      <c r="B1775" s="36">
        <f t="shared" si="85"/>
        <v>11</v>
      </c>
      <c r="C1775" s="184">
        <f t="shared" si="84"/>
        <v>42703</v>
      </c>
      <c r="D1775" s="184" t="s">
        <v>699</v>
      </c>
      <c r="E1775" s="191">
        <v>42703</v>
      </c>
      <c r="F1775" s="192" t="s">
        <v>825</v>
      </c>
      <c r="G1775" s="192" t="s">
        <v>332</v>
      </c>
      <c r="H1775" s="193"/>
      <c r="I1775" s="256"/>
      <c r="J1775" s="256"/>
      <c r="K1775" s="565">
        <v>1364</v>
      </c>
      <c r="L1775" s="194" t="s">
        <v>9</v>
      </c>
      <c r="M1775" s="566" t="s">
        <v>24</v>
      </c>
      <c r="N1775" s="52" t="str">
        <f>IF(AND('331-CT'!$E$7=TH!H1775,OR(L1775="331",M1775="331")),"331",IF(AND(OR(L1775="131",M1775="131"),H1775='131-CT'!$E$7),"131",""))</f>
        <v/>
      </c>
      <c r="O1775" s="857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1">
        <v>4</v>
      </c>
      <c r="AC1775" s="557"/>
      <c r="AD1775" s="557"/>
    </row>
    <row r="1776" spans="1:30" s="211" customFormat="1" ht="15.75" customHeight="1">
      <c r="A1776" s="204" t="str">
        <f>IF(B1776&lt;&gt;"",IF(AND(B1776&gt;=_TM1,B1776&lt;=_TM2,OR(TH!L647="1111",TH!M647="1111")),TH!D647,""),"")</f>
        <v/>
      </c>
      <c r="B1776" s="36">
        <f t="shared" si="85"/>
        <v>11</v>
      </c>
      <c r="C1776" s="184">
        <f t="shared" si="84"/>
        <v>42703</v>
      </c>
      <c r="D1776" s="184" t="s">
        <v>699</v>
      </c>
      <c r="E1776" s="191">
        <v>42703</v>
      </c>
      <c r="F1776" s="189" t="s">
        <v>807</v>
      </c>
      <c r="G1776" s="192" t="s">
        <v>1318</v>
      </c>
      <c r="H1776" s="193" t="s">
        <v>1313</v>
      </c>
      <c r="I1776" s="256"/>
      <c r="J1776" s="256"/>
      <c r="K1776" s="565">
        <v>3300000</v>
      </c>
      <c r="L1776" s="566" t="s">
        <v>47</v>
      </c>
      <c r="M1776" s="566" t="s">
        <v>24</v>
      </c>
      <c r="N1776" s="52" t="str">
        <f>IF(AND('331-CT'!$E$7=TH!H1776,OR(L1776="331",M1776="331")),"331",IF(AND(OR(L1776="131",M1776="131"),H1776='131-CT'!$E$7),"131",""))</f>
        <v/>
      </c>
      <c r="O1776" s="857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2"/>
      <c r="AC1776" s="557"/>
      <c r="AD1776" s="557"/>
    </row>
    <row r="1777" spans="1:30" s="211" customFormat="1" ht="15.75" customHeight="1">
      <c r="A1777" s="204" t="str">
        <f>IF(B1777&lt;&gt;"",IF(AND(B1777&gt;=_TM1,B1777&lt;=_TM2,OR(TH!L648="1111",TH!M648="1111")),TH!D648,""),"")</f>
        <v/>
      </c>
      <c r="B1777" s="36">
        <f t="shared" si="85"/>
        <v>11</v>
      </c>
      <c r="C1777" s="184">
        <f t="shared" si="84"/>
        <v>42703</v>
      </c>
      <c r="D1777" s="184" t="s">
        <v>699</v>
      </c>
      <c r="E1777" s="191">
        <v>42703</v>
      </c>
      <c r="F1777" s="192" t="s">
        <v>696</v>
      </c>
      <c r="G1777" s="192" t="s">
        <v>1318</v>
      </c>
      <c r="H1777" s="7" t="s">
        <v>421</v>
      </c>
      <c r="I1777" s="256"/>
      <c r="J1777" s="256"/>
      <c r="K1777" s="565">
        <v>8507730</v>
      </c>
      <c r="L1777" s="566" t="s">
        <v>24</v>
      </c>
      <c r="M1777" s="566" t="s">
        <v>259</v>
      </c>
      <c r="N1777" s="52" t="str">
        <f>IF(AND('331-CT'!$E$7=TH!H1777,OR(L1777="331",M1777="331")),"331",IF(AND(OR(L1777="131",M1777="131"),H1777='131-CT'!$E$7),"131",""))</f>
        <v/>
      </c>
      <c r="O1777" s="857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2"/>
      <c r="AC1777" s="557"/>
    </row>
    <row r="1778" spans="1:30" s="211" customFormat="1" ht="15.75" customHeight="1">
      <c r="A1778" s="204" t="str">
        <f>IF(B1778&lt;&gt;"",IF(AND(B1778&gt;=_TM1,B1778&lt;=_TM2,OR(TH!L1847="1111",TH!M1847="1111")),TH!D1847,""),"")</f>
        <v>GBN</v>
      </c>
      <c r="B1778" s="36">
        <f t="shared" si="85"/>
        <v>11</v>
      </c>
      <c r="C1778" s="184">
        <f t="shared" si="84"/>
        <v>42703</v>
      </c>
      <c r="D1778" s="184" t="s">
        <v>1162</v>
      </c>
      <c r="E1778" s="191">
        <v>42703</v>
      </c>
      <c r="F1778" s="40" t="s">
        <v>1505</v>
      </c>
      <c r="G1778" s="456" t="s">
        <v>1507</v>
      </c>
      <c r="H1778" s="193" t="s">
        <v>1503</v>
      </c>
      <c r="I1778" s="257">
        <v>4000</v>
      </c>
      <c r="J1778" s="257">
        <v>4500</v>
      </c>
      <c r="K1778" s="38">
        <f>ROUND(I1778*J1778,0)</f>
        <v>18000000</v>
      </c>
      <c r="L1778" s="194" t="s">
        <v>259</v>
      </c>
      <c r="M1778" s="194" t="s">
        <v>174</v>
      </c>
      <c r="N1778" s="52" t="str">
        <f>IF(AND('331-CT'!$E$7=TH!H1778,OR(L1778="331",M1778="331")),"331",IF(AND(OR(L1778="131",M1778="131"),H1778='131-CT'!$E$7),"131",""))</f>
        <v/>
      </c>
      <c r="O1778" s="857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1"/>
      <c r="AC1778" s="557" t="str">
        <f>IF(VLOOKUP(F1778,NXT!$C$35:$C$411,1,0)=F1778,"","x")</f>
        <v/>
      </c>
      <c r="AD1778" s="557"/>
    </row>
    <row r="1779" spans="1:30" s="211" customFormat="1" ht="15.75" customHeight="1">
      <c r="A1779" s="204" t="str">
        <f>IF(B1779&lt;&gt;"",IF(AND(B1779&gt;=_TM1,B1779&lt;=_TM2,OR(TH!L1848="1111",TH!M1848="1111")),TH!D1848,""),"")</f>
        <v/>
      </c>
      <c r="B1779" s="36">
        <f t="shared" si="85"/>
        <v>11</v>
      </c>
      <c r="C1779" s="184">
        <f t="shared" si="84"/>
        <v>42703</v>
      </c>
      <c r="D1779" s="184" t="s">
        <v>1162</v>
      </c>
      <c r="E1779" s="191">
        <v>42703</v>
      </c>
      <c r="F1779" s="40" t="s">
        <v>1285</v>
      </c>
      <c r="G1779" s="456" t="s">
        <v>1507</v>
      </c>
      <c r="H1779" s="193" t="s">
        <v>1503</v>
      </c>
      <c r="I1779" s="257"/>
      <c r="J1779" s="257"/>
      <c r="K1779" s="38">
        <v>1800000</v>
      </c>
      <c r="L1779" s="194" t="s">
        <v>259</v>
      </c>
      <c r="M1779" s="194" t="s">
        <v>370</v>
      </c>
      <c r="N1779" s="52" t="str">
        <f>IF(AND('331-CT'!$E$7=TH!H1779,OR(L1779="331",M1779="331")),"331",IF(AND(OR(L1779="131",M1779="131"),H1779='131-CT'!$E$7),"131",""))</f>
        <v/>
      </c>
      <c r="O1779" s="857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1"/>
      <c r="AC1779" s="557"/>
      <c r="AD1779" s="557"/>
    </row>
    <row r="1780" spans="1:30" s="211" customFormat="1" ht="15.75" customHeight="1">
      <c r="A1780" s="204" t="str">
        <f>IF(B1780&lt;&gt;"",IF(AND(B1780&gt;=_TM1,B1780&lt;=_TM2,OR(TH!L1849="1111",TH!M1849="1111")),TH!D1849,""),"")</f>
        <v/>
      </c>
      <c r="B1780" s="36">
        <f t="shared" si="85"/>
        <v>11</v>
      </c>
      <c r="C1780" s="184">
        <f t="shared" si="84"/>
        <v>42703</v>
      </c>
      <c r="D1780" s="184"/>
      <c r="E1780" s="191">
        <v>42703</v>
      </c>
      <c r="F1780" s="40" t="s">
        <v>1504</v>
      </c>
      <c r="G1780" s="456" t="s">
        <v>1507</v>
      </c>
      <c r="H1780" s="193" t="s">
        <v>1503</v>
      </c>
      <c r="I1780" s="257"/>
      <c r="J1780" s="257"/>
      <c r="K1780" s="38">
        <v>19800000</v>
      </c>
      <c r="L1780" s="194" t="s">
        <v>47</v>
      </c>
      <c r="M1780" s="194" t="s">
        <v>259</v>
      </c>
      <c r="N1780" s="52" t="str">
        <f>IF(AND('331-CT'!$E$7=TH!H1780,OR(L1780="331",M1780="331")),"331",IF(AND(OR(L1780="131",M1780="131"),H1780='131-CT'!$E$7),"131",""))</f>
        <v/>
      </c>
      <c r="O1780" s="857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1"/>
      <c r="AC1780" s="557"/>
    </row>
    <row r="1781" spans="1:30" s="211" customFormat="1" ht="15.75" customHeight="1">
      <c r="A1781" s="204" t="str">
        <f>IF(B1781&lt;&gt;"",IF(AND(B1781&gt;=_TM1,B1781&lt;=_TM2,OR(TH!L508="1111",TH!M508="1111")),TH!D508,""),"")</f>
        <v/>
      </c>
      <c r="B1781" s="36">
        <f t="shared" si="85"/>
        <v>11</v>
      </c>
      <c r="C1781" s="184">
        <f t="shared" si="84"/>
        <v>42704</v>
      </c>
      <c r="D1781" s="184" t="s">
        <v>695</v>
      </c>
      <c r="E1781" s="191">
        <v>42704</v>
      </c>
      <c r="F1781" s="192" t="s">
        <v>696</v>
      </c>
      <c r="G1781" s="192" t="s">
        <v>332</v>
      </c>
      <c r="H1781" s="7" t="s">
        <v>828</v>
      </c>
      <c r="I1781" s="256"/>
      <c r="J1781" s="256"/>
      <c r="K1781" s="565">
        <v>5000000</v>
      </c>
      <c r="L1781" s="194" t="s">
        <v>24</v>
      </c>
      <c r="M1781" s="194" t="s">
        <v>259</v>
      </c>
      <c r="N1781" s="52" t="str">
        <f>IF(AND('331-CT'!$E$7=TH!H1781,OR(L1781="331",M1781="331")),"331",IF(AND(OR(L1781="131",M1781="131"),H1781='131-CT'!$E$7),"131",""))</f>
        <v/>
      </c>
      <c r="O1781" s="857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2"/>
      <c r="AC1781" s="557"/>
    </row>
    <row r="1782" spans="1:30" s="211" customFormat="1" ht="15.75" customHeight="1">
      <c r="A1782" s="204" t="str">
        <f>IF(B1782&lt;&gt;"",IF(AND(B1782&gt;=_TM1,B1782&lt;=_TM2,OR(TH!L649="1111",TH!M649="1111")),TH!D649,""),"")</f>
        <v/>
      </c>
      <c r="B1782" s="36">
        <f t="shared" si="85"/>
        <v>11</v>
      </c>
      <c r="C1782" s="184">
        <f t="shared" si="84"/>
        <v>42704</v>
      </c>
      <c r="D1782" s="184" t="s">
        <v>699</v>
      </c>
      <c r="E1782" s="191">
        <v>42704</v>
      </c>
      <c r="F1782" s="189" t="s">
        <v>1321</v>
      </c>
      <c r="G1782" s="192" t="s">
        <v>1318</v>
      </c>
      <c r="H1782" s="193" t="s">
        <v>1546</v>
      </c>
      <c r="I1782" s="256"/>
      <c r="J1782" s="256"/>
      <c r="K1782" s="565">
        <v>40000000</v>
      </c>
      <c r="L1782" s="566" t="s">
        <v>24</v>
      </c>
      <c r="M1782" s="566" t="s">
        <v>790</v>
      </c>
      <c r="N1782" s="52" t="str">
        <f>IF(AND('331-CT'!$E$7=TH!H1782,OR(L1782="331",M1782="331")),"331",IF(AND(OR(L1782="131",M1782="131"),H1782='131-CT'!$E$7),"131",""))</f>
        <v/>
      </c>
      <c r="O1782" s="857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2"/>
      <c r="AC1782" s="557"/>
      <c r="AD1782" s="557"/>
    </row>
    <row r="1783" spans="1:30" s="211" customFormat="1" ht="15.75" customHeight="1">
      <c r="A1783" s="204" t="str">
        <f>IF(B1783&lt;&gt;"",IF(AND(B1783&gt;=_TM1,B1783&lt;=_TM2,OR(TH!L650="1111",TH!M650="1111")),TH!D650,""),"")</f>
        <v/>
      </c>
      <c r="B1783" s="36">
        <f t="shared" si="85"/>
        <v>11</v>
      </c>
      <c r="C1783" s="184">
        <f t="shared" si="84"/>
        <v>42704</v>
      </c>
      <c r="D1783" s="184" t="s">
        <v>699</v>
      </c>
      <c r="E1783" s="191">
        <v>42704</v>
      </c>
      <c r="F1783" s="189" t="s">
        <v>701</v>
      </c>
      <c r="G1783" s="192" t="s">
        <v>1318</v>
      </c>
      <c r="H1783" s="7"/>
      <c r="I1783" s="256"/>
      <c r="J1783" s="256"/>
      <c r="K1783" s="565">
        <v>15000000</v>
      </c>
      <c r="L1783" s="566" t="s">
        <v>8</v>
      </c>
      <c r="M1783" s="566" t="s">
        <v>24</v>
      </c>
      <c r="N1783" s="52" t="str">
        <f>IF(AND('331-CT'!$E$7=TH!H1783,OR(L1783="331",M1783="331")),"331",IF(AND(OR(L1783="131",M1783="131"),H1783='131-CT'!$E$7),"131",""))</f>
        <v/>
      </c>
      <c r="O1783" s="857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2"/>
      <c r="AC1783" s="557"/>
    </row>
    <row r="1784" spans="1:30" s="211" customFormat="1" ht="15.75" customHeight="1">
      <c r="A1784" s="204" t="str">
        <f>IF(B1784&lt;&gt;"",IF(AND(B1784&gt;=_TM1,B1784&lt;=_TM2,OR(TH!L651="1111",TH!M651="1111")),TH!D651,""),"")</f>
        <v/>
      </c>
      <c r="B1784" s="36">
        <f t="shared" si="85"/>
        <v>11</v>
      </c>
      <c r="C1784" s="184">
        <f t="shared" si="84"/>
        <v>42704</v>
      </c>
      <c r="D1784" s="184" t="s">
        <v>699</v>
      </c>
      <c r="E1784" s="191">
        <v>42704</v>
      </c>
      <c r="F1784" s="192" t="s">
        <v>702</v>
      </c>
      <c r="G1784" s="192" t="s">
        <v>1318</v>
      </c>
      <c r="H1784" s="193"/>
      <c r="I1784" s="256"/>
      <c r="J1784" s="256"/>
      <c r="K1784" s="565">
        <v>20000</v>
      </c>
      <c r="L1784" s="566" t="s">
        <v>83</v>
      </c>
      <c r="M1784" s="566" t="s">
        <v>24</v>
      </c>
      <c r="N1784" s="52" t="str">
        <f>IF(AND('331-CT'!$E$7=TH!H1784,OR(L1784="331",M1784="331")),"331",IF(AND(OR(L1784="131",M1784="131"),H1784='131-CT'!$E$7),"131",""))</f>
        <v/>
      </c>
      <c r="O1784" s="857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2">
        <v>4</v>
      </c>
      <c r="AC1784" s="557"/>
      <c r="AD1784" s="557"/>
    </row>
    <row r="1785" spans="1:30" s="211" customFormat="1" ht="15.75" customHeight="1">
      <c r="A1785" s="204" t="str">
        <f>IF(B1785&lt;&gt;"",IF(AND(B1785&gt;=_TM1,B1785&lt;=_TM2,OR(TH!L652="1111",TH!M652="1111")),TH!D652,""),"")</f>
        <v/>
      </c>
      <c r="B1785" s="36">
        <f t="shared" si="85"/>
        <v>11</v>
      </c>
      <c r="C1785" s="184">
        <f t="shared" si="84"/>
        <v>42704</v>
      </c>
      <c r="D1785" s="184" t="s">
        <v>699</v>
      </c>
      <c r="E1785" s="191">
        <v>42704</v>
      </c>
      <c r="F1785" s="192" t="s">
        <v>793</v>
      </c>
      <c r="G1785" s="192" t="s">
        <v>1318</v>
      </c>
      <c r="H1785" s="7"/>
      <c r="I1785" s="256"/>
      <c r="J1785" s="256"/>
      <c r="K1785" s="565">
        <v>2000</v>
      </c>
      <c r="L1785" s="194" t="s">
        <v>9</v>
      </c>
      <c r="M1785" s="566" t="s">
        <v>24</v>
      </c>
      <c r="N1785" s="52" t="str">
        <f>IF(AND('331-CT'!$E$7=TH!H1785,OR(L1785="331",M1785="331")),"331",IF(AND(OR(L1785="131",M1785="131"),H1785='131-CT'!$E$7),"131",""))</f>
        <v/>
      </c>
      <c r="O1785" s="857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>x</v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2">
        <v>4</v>
      </c>
      <c r="AC1785" s="557"/>
      <c r="AD1785" s="557"/>
    </row>
    <row r="1786" spans="1:30" s="211" customFormat="1" ht="15.75" customHeight="1">
      <c r="A1786" s="204" t="str">
        <f>IF(B1786&lt;&gt;"",IF(AND(B1786&gt;=_TM1,B1786&lt;=_TM2,OR(TH!L653="1111",TH!M653="1111")),TH!D653,""),"")</f>
        <v/>
      </c>
      <c r="B1786" s="36">
        <f t="shared" si="85"/>
        <v>11</v>
      </c>
      <c r="C1786" s="184">
        <f t="shared" si="84"/>
        <v>42704</v>
      </c>
      <c r="D1786" s="184" t="s">
        <v>699</v>
      </c>
      <c r="E1786" s="191">
        <v>42704</v>
      </c>
      <c r="F1786" s="189" t="s">
        <v>697</v>
      </c>
      <c r="G1786" s="192" t="s">
        <v>1318</v>
      </c>
      <c r="H1786" s="193"/>
      <c r="I1786" s="256"/>
      <c r="J1786" s="256"/>
      <c r="K1786" s="565">
        <v>1300</v>
      </c>
      <c r="L1786" s="566" t="s">
        <v>24</v>
      </c>
      <c r="M1786" s="566" t="s">
        <v>40</v>
      </c>
      <c r="N1786" s="52" t="str">
        <f>IF(AND('331-CT'!$E$7=TH!H1786,OR(L1786="331",M1786="331")),"331",IF(AND(OR(L1786="131",M1786="131"),H1786='131-CT'!$E$7),"131",""))</f>
        <v/>
      </c>
      <c r="O1786" s="857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>x</v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2"/>
      <c r="AC1786" s="557"/>
    </row>
    <row r="1787" spans="1:30" s="211" customFormat="1" ht="15.75" customHeight="1">
      <c r="A1787" s="204" t="str">
        <f>IF(B1787&lt;&gt;"",IF(AND(B1787&gt;=_TM1,B1787&lt;=_TM2,OR(TH!L654="1111",TH!M654="1111")),TH!D654,""),"")</f>
        <v/>
      </c>
      <c r="B1787" s="36">
        <f t="shared" si="85"/>
        <v>12</v>
      </c>
      <c r="C1787" s="184">
        <f t="shared" si="84"/>
        <v>42705</v>
      </c>
      <c r="D1787" s="184" t="s">
        <v>699</v>
      </c>
      <c r="E1787" s="191">
        <v>42705</v>
      </c>
      <c r="F1787" s="189" t="s">
        <v>701</v>
      </c>
      <c r="G1787" s="192" t="s">
        <v>1318</v>
      </c>
      <c r="H1787" s="7"/>
      <c r="I1787" s="256"/>
      <c r="J1787" s="256"/>
      <c r="K1787" s="565">
        <v>10000000</v>
      </c>
      <c r="L1787" s="566" t="s">
        <v>8</v>
      </c>
      <c r="M1787" s="566" t="s">
        <v>24</v>
      </c>
      <c r="N1787" s="52" t="str">
        <f>IF(AND('331-CT'!$E$7=TH!H1787,OR(L1787="331",M1787="331")),"331",IF(AND(OR(L1787="131",M1787="131"),H1787='131-CT'!$E$7),"131",""))</f>
        <v/>
      </c>
      <c r="O1787" s="857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>x</v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2"/>
      <c r="AC1787" s="557"/>
      <c r="AD1787" s="557"/>
    </row>
    <row r="1788" spans="1:30" s="211" customFormat="1" ht="15.75" customHeight="1">
      <c r="A1788" s="204" t="str">
        <f>IF(B1788&lt;&gt;"",IF(AND(B1788&gt;=_TM1,B1788&lt;=_TM2,OR(TH!L655="1111",TH!M655="1111")),TH!D655,""),"")</f>
        <v/>
      </c>
      <c r="B1788" s="36">
        <f t="shared" si="85"/>
        <v>12</v>
      </c>
      <c r="C1788" s="184">
        <f t="shared" si="84"/>
        <v>42705</v>
      </c>
      <c r="D1788" s="184" t="s">
        <v>699</v>
      </c>
      <c r="E1788" s="191">
        <v>42705</v>
      </c>
      <c r="F1788" s="192" t="s">
        <v>702</v>
      </c>
      <c r="G1788" s="192" t="s">
        <v>1318</v>
      </c>
      <c r="H1788" s="193"/>
      <c r="I1788" s="256"/>
      <c r="J1788" s="256"/>
      <c r="K1788" s="565">
        <v>20000</v>
      </c>
      <c r="L1788" s="566" t="s">
        <v>83</v>
      </c>
      <c r="M1788" s="566" t="s">
        <v>24</v>
      </c>
      <c r="N1788" s="52" t="str">
        <f>IF(AND('331-CT'!$E$7=TH!H1788,OR(L1788="331",M1788="331")),"331",IF(AND(OR(L1788="131",M1788="131"),H1788='131-CT'!$E$7),"131",""))</f>
        <v/>
      </c>
      <c r="O1788" s="857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>x</v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>x</v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2">
        <v>4</v>
      </c>
      <c r="AC1788" s="557"/>
      <c r="AD1788" s="557"/>
    </row>
    <row r="1789" spans="1:30" s="211" customFormat="1" ht="15.75" customHeight="1">
      <c r="A1789" s="204" t="str">
        <f>IF(B1789&lt;&gt;"",IF(AND(B1789&gt;=_TM1,B1789&lt;=_TM2,OR(TH!L656="1111",TH!M656="1111")),TH!D656,""),"")</f>
        <v/>
      </c>
      <c r="B1789" s="36">
        <f t="shared" si="85"/>
        <v>12</v>
      </c>
      <c r="C1789" s="184">
        <f t="shared" si="84"/>
        <v>42705</v>
      </c>
      <c r="D1789" s="184" t="s">
        <v>699</v>
      </c>
      <c r="E1789" s="191">
        <v>42705</v>
      </c>
      <c r="F1789" s="192" t="s">
        <v>793</v>
      </c>
      <c r="G1789" s="192" t="s">
        <v>1318</v>
      </c>
      <c r="H1789" s="7"/>
      <c r="I1789" s="256"/>
      <c r="J1789" s="256"/>
      <c r="K1789" s="565">
        <v>2000</v>
      </c>
      <c r="L1789" s="194" t="s">
        <v>9</v>
      </c>
      <c r="M1789" s="566" t="s">
        <v>24</v>
      </c>
      <c r="N1789" s="52" t="str">
        <f>IF(AND('331-CT'!$E$7=TH!H1789,OR(L1789="331",M1789="331")),"331",IF(AND(OR(L1789="131",M1789="131"),H1789='131-CT'!$E$7),"131",""))</f>
        <v/>
      </c>
      <c r="O1789" s="857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>x</v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2">
        <v>4</v>
      </c>
      <c r="AC1789" s="557"/>
    </row>
    <row r="1790" spans="1:30" s="211" customFormat="1" ht="15.75" customHeight="1">
      <c r="A1790" s="204" t="str">
        <f>IF(B1790&lt;&gt;"",IF(AND(B1790&gt;=_TM1,B1790&lt;=_TM2,OR(TH!L657="1111",TH!M657="1111")),TH!D657,""),"")</f>
        <v/>
      </c>
      <c r="B1790" s="36">
        <f t="shared" si="85"/>
        <v>12</v>
      </c>
      <c r="C1790" s="184">
        <f t="shared" si="84"/>
        <v>42705</v>
      </c>
      <c r="D1790" s="184" t="s">
        <v>699</v>
      </c>
      <c r="E1790" s="191">
        <v>42705</v>
      </c>
      <c r="F1790" s="189" t="s">
        <v>701</v>
      </c>
      <c r="G1790" s="192" t="s">
        <v>1318</v>
      </c>
      <c r="H1790" s="7"/>
      <c r="I1790" s="256"/>
      <c r="J1790" s="256"/>
      <c r="K1790" s="565">
        <v>20000000</v>
      </c>
      <c r="L1790" s="566" t="s">
        <v>8</v>
      </c>
      <c r="M1790" s="566" t="s">
        <v>24</v>
      </c>
      <c r="N1790" s="52" t="str">
        <f>IF(AND('331-CT'!$E$7=TH!H1790,OR(L1790="331",M1790="331")),"331",IF(AND(OR(L1790="131",M1790="131"),H1790='131-CT'!$E$7),"131",""))</f>
        <v/>
      </c>
      <c r="O1790" s="857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>x</v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2"/>
      <c r="AC1790" s="557"/>
      <c r="AD1790" s="557"/>
    </row>
    <row r="1791" spans="1:30" s="211" customFormat="1" ht="15.75" customHeight="1">
      <c r="A1791" s="204" t="str">
        <f>IF(B1791&lt;&gt;"",IF(AND(B1791&gt;=_TM1,B1791&lt;=_TM2,OR(TH!L658="1111",TH!M658="1111")),TH!D658,""),"")</f>
        <v/>
      </c>
      <c r="B1791" s="36">
        <f t="shared" si="85"/>
        <v>12</v>
      </c>
      <c r="C1791" s="184">
        <f t="shared" si="84"/>
        <v>42705</v>
      </c>
      <c r="D1791" s="184" t="s">
        <v>699</v>
      </c>
      <c r="E1791" s="191">
        <v>42705</v>
      </c>
      <c r="F1791" s="192" t="s">
        <v>702</v>
      </c>
      <c r="G1791" s="192" t="s">
        <v>1318</v>
      </c>
      <c r="H1791" s="193"/>
      <c r="I1791" s="256"/>
      <c r="J1791" s="256"/>
      <c r="K1791" s="565">
        <v>20000</v>
      </c>
      <c r="L1791" s="566" t="s">
        <v>83</v>
      </c>
      <c r="M1791" s="566" t="s">
        <v>24</v>
      </c>
      <c r="N1791" s="52" t="str">
        <f>IF(AND('331-CT'!$E$7=TH!H1791,OR(L1791="331",M1791="331")),"331",IF(AND(OR(L1791="131",M1791="131"),H1791='131-CT'!$E$7),"131",""))</f>
        <v/>
      </c>
      <c r="O1791" s="857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2">
        <v>4</v>
      </c>
      <c r="AC1791" s="557"/>
      <c r="AD1791" s="557"/>
    </row>
    <row r="1792" spans="1:30" s="211" customFormat="1" ht="15.75" customHeight="1">
      <c r="A1792" s="204" t="str">
        <f>IF(B1792&lt;&gt;"",IF(AND(B1792&gt;=_TM1,B1792&lt;=_TM2,OR(TH!L659="1111",TH!M659="1111")),TH!D659,""),"")</f>
        <v/>
      </c>
      <c r="B1792" s="36">
        <f t="shared" si="85"/>
        <v>12</v>
      </c>
      <c r="C1792" s="184">
        <f t="shared" si="84"/>
        <v>42705</v>
      </c>
      <c r="D1792" s="184" t="s">
        <v>699</v>
      </c>
      <c r="E1792" s="191">
        <v>42705</v>
      </c>
      <c r="F1792" s="192" t="s">
        <v>793</v>
      </c>
      <c r="G1792" s="192" t="s">
        <v>1318</v>
      </c>
      <c r="H1792" s="7"/>
      <c r="I1792" s="256"/>
      <c r="J1792" s="256"/>
      <c r="K1792" s="565">
        <v>2000</v>
      </c>
      <c r="L1792" s="194" t="s">
        <v>9</v>
      </c>
      <c r="M1792" s="566" t="s">
        <v>24</v>
      </c>
      <c r="N1792" s="52" t="str">
        <f>IF(AND('331-CT'!$E$7=TH!H1792,OR(L1792="331",M1792="331")),"331",IF(AND(OR(L1792="131",M1792="131"),H1792='131-CT'!$E$7),"131",""))</f>
        <v/>
      </c>
      <c r="O1792" s="857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2">
        <v>4</v>
      </c>
      <c r="AC1792" s="557"/>
    </row>
    <row r="1793" spans="1:30" s="211" customFormat="1" ht="15.75" customHeight="1">
      <c r="A1793" s="204" t="str">
        <f>IF(B1793&lt;&gt;"",IF(AND(B1793&gt;=_TM1,B1793&lt;=_TM2,OR(TH!L1850="1111",TH!M1850="1111")),TH!D1850,""),"")</f>
        <v/>
      </c>
      <c r="B1793" s="36">
        <f t="shared" si="85"/>
        <v>12</v>
      </c>
      <c r="C1793" s="184">
        <f t="shared" si="84"/>
        <v>42705</v>
      </c>
      <c r="D1793" s="184" t="s">
        <v>1163</v>
      </c>
      <c r="E1793" s="191">
        <v>42705</v>
      </c>
      <c r="F1793" s="40" t="s">
        <v>1505</v>
      </c>
      <c r="G1793" s="456" t="s">
        <v>1508</v>
      </c>
      <c r="H1793" s="193" t="s">
        <v>1503</v>
      </c>
      <c r="I1793" s="257">
        <v>4000</v>
      </c>
      <c r="J1793" s="257">
        <v>4500</v>
      </c>
      <c r="K1793" s="38">
        <f>ROUND(I1793*J1793,0)</f>
        <v>18000000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57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1"/>
      <c r="AC1793" s="557" t="str">
        <f>IF(VLOOKUP(F1793,NXT!$C$35:$C$411,1,0)=F1793,"","x")</f>
        <v/>
      </c>
      <c r="AD1793" s="557"/>
    </row>
    <row r="1794" spans="1:30" s="211" customFormat="1" ht="15.75" customHeight="1">
      <c r="A1794" s="204" t="str">
        <f>IF(B1794&lt;&gt;"",IF(AND(B1794&gt;=_TM1,B1794&lt;=_TM2,OR(TH!L1851="1111",TH!M1851="1111")),TH!D1851,""),"")</f>
        <v/>
      </c>
      <c r="B1794" s="36">
        <f t="shared" si="85"/>
        <v>12</v>
      </c>
      <c r="C1794" s="184">
        <f t="shared" si="84"/>
        <v>42705</v>
      </c>
      <c r="D1794" s="184" t="s">
        <v>1163</v>
      </c>
      <c r="E1794" s="191">
        <v>42705</v>
      </c>
      <c r="F1794" s="40" t="s">
        <v>1285</v>
      </c>
      <c r="G1794" s="456" t="s">
        <v>1508</v>
      </c>
      <c r="H1794" s="193" t="s">
        <v>1503</v>
      </c>
      <c r="I1794" s="257"/>
      <c r="J1794" s="257"/>
      <c r="K1794" s="38">
        <v>1800000</v>
      </c>
      <c r="L1794" s="194" t="s">
        <v>259</v>
      </c>
      <c r="M1794" s="194" t="s">
        <v>370</v>
      </c>
      <c r="N1794" s="52" t="str">
        <f>IF(AND('331-CT'!$E$7=TH!H1794,OR(L1794="331",M1794="331")),"331",IF(AND(OR(L1794="131",M1794="131"),H1794='131-CT'!$E$7),"131",""))</f>
        <v/>
      </c>
      <c r="O1794" s="857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1"/>
      <c r="AC1794" s="557"/>
      <c r="AD1794" s="557"/>
    </row>
    <row r="1795" spans="1:30" s="211" customFormat="1" ht="15.75" customHeight="1">
      <c r="A1795" s="204" t="str">
        <f>IF(B1795&lt;&gt;"",IF(AND(B1795&gt;=_TM1,B1795&lt;=_TM2,OR(TH!L1852="1111",TH!M1852="1111")),TH!D1852,""),"")</f>
        <v/>
      </c>
      <c r="B1795" s="36">
        <f t="shared" si="85"/>
        <v>12</v>
      </c>
      <c r="C1795" s="184">
        <f t="shared" si="84"/>
        <v>42705</v>
      </c>
      <c r="D1795" s="184"/>
      <c r="E1795" s="191">
        <v>42705</v>
      </c>
      <c r="F1795" s="40" t="s">
        <v>1504</v>
      </c>
      <c r="G1795" s="456" t="s">
        <v>1508</v>
      </c>
      <c r="H1795" s="193" t="s">
        <v>1503</v>
      </c>
      <c r="I1795" s="257"/>
      <c r="J1795" s="257"/>
      <c r="K1795" s="38">
        <v>19800000</v>
      </c>
      <c r="L1795" s="194" t="s">
        <v>47</v>
      </c>
      <c r="M1795" s="194" t="s">
        <v>259</v>
      </c>
      <c r="N1795" s="52" t="str">
        <f>IF(AND('331-CT'!$E$7=TH!H1795,OR(L1795="331",M1795="331")),"331",IF(AND(OR(L1795="131",M1795="131"),H1795='131-CT'!$E$7),"131",""))</f>
        <v/>
      </c>
      <c r="O1795" s="857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1"/>
      <c r="AC1795" s="557"/>
    </row>
    <row r="1796" spans="1:30" s="211" customFormat="1" ht="15.75" customHeight="1">
      <c r="A1796" s="204" t="str">
        <f>IF(B1796&lt;&gt;"",IF(AND(B1796&gt;=_TM1,B1796&lt;=_TM2,OR(TH!L567="1111",TH!M567="1111")),TH!D567,""),"")</f>
        <v>GBN</v>
      </c>
      <c r="B1796" s="36">
        <f t="shared" si="85"/>
        <v>12</v>
      </c>
      <c r="C1796" s="184">
        <f t="shared" ref="C1796:C1859" si="86">E1796</f>
        <v>42706</v>
      </c>
      <c r="D1796" s="184" t="s">
        <v>699</v>
      </c>
      <c r="E1796" s="191">
        <v>42706</v>
      </c>
      <c r="F1796" s="192" t="s">
        <v>700</v>
      </c>
      <c r="G1796" s="192" t="s">
        <v>332</v>
      </c>
      <c r="H1796" s="7" t="s">
        <v>705</v>
      </c>
      <c r="I1796" s="256"/>
      <c r="J1796" s="256"/>
      <c r="K1796" s="565">
        <v>5000000</v>
      </c>
      <c r="L1796" s="194" t="s">
        <v>47</v>
      </c>
      <c r="M1796" s="566" t="s">
        <v>24</v>
      </c>
      <c r="N1796" s="52" t="str">
        <f>IF(AND('331-CT'!$E$7=TH!H1796,OR(L1796="331",M1796="331")),"331",IF(AND(OR(L1796="131",M1796="131"),H1796='131-CT'!$E$7),"131",""))</f>
        <v/>
      </c>
      <c r="O1796" s="857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2"/>
      <c r="AC1796" s="557"/>
    </row>
    <row r="1797" spans="1:30" s="211" customFormat="1" ht="15.75" customHeight="1">
      <c r="A1797" s="204">
        <f>IF(B1797&lt;&gt;"",IF(AND(B1797&gt;=_TM1,B1797&lt;=_TM2,OR(TH!L1853="1111",TH!M1853="1111")),TH!D1853,""),"")</f>
        <v>0</v>
      </c>
      <c r="B1797" s="36">
        <f t="shared" si="85"/>
        <v>12</v>
      </c>
      <c r="C1797" s="184">
        <f t="shared" si="86"/>
        <v>42707</v>
      </c>
      <c r="D1797" s="184" t="s">
        <v>1164</v>
      </c>
      <c r="E1797" s="191">
        <v>42707</v>
      </c>
      <c r="F1797" s="40" t="s">
        <v>710</v>
      </c>
      <c r="G1797" s="456" t="s">
        <v>1509</v>
      </c>
      <c r="H1797" s="749" t="s">
        <v>808</v>
      </c>
      <c r="I1797" s="257">
        <f>114+109</f>
        <v>223</v>
      </c>
      <c r="J1797" s="257">
        <v>9300</v>
      </c>
      <c r="K1797" s="38">
        <f>ROUND(I1797*J1797,0)</f>
        <v>2073900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>131</v>
      </c>
      <c r="O1797" s="857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1"/>
      <c r="AC1797" s="557"/>
      <c r="AD1797" s="557"/>
    </row>
    <row r="1798" spans="1:30" s="211" customFormat="1" ht="15.75" customHeight="1">
      <c r="A1798" s="204" t="str">
        <f>IF(B1798&lt;&gt;"",IF(AND(B1798&gt;=_TM1,B1798&lt;=_TM2,OR(TH!L1854="1111",TH!M1854="1111")),TH!D1854,""),"")</f>
        <v/>
      </c>
      <c r="B1798" s="36">
        <f t="shared" si="85"/>
        <v>12</v>
      </c>
      <c r="C1798" s="184">
        <f t="shared" si="86"/>
        <v>42707</v>
      </c>
      <c r="D1798" s="184" t="s">
        <v>1164</v>
      </c>
      <c r="E1798" s="191">
        <v>42707</v>
      </c>
      <c r="F1798" s="40" t="s">
        <v>1057</v>
      </c>
      <c r="G1798" s="456" t="s">
        <v>1509</v>
      </c>
      <c r="H1798" s="749" t="s">
        <v>808</v>
      </c>
      <c r="I1798" s="257"/>
      <c r="J1798" s="257"/>
      <c r="K1798" s="38">
        <v>207390</v>
      </c>
      <c r="L1798" s="194" t="s">
        <v>259</v>
      </c>
      <c r="M1798" s="194" t="s">
        <v>370</v>
      </c>
      <c r="N1798" s="52" t="str">
        <f>IF(AND('331-CT'!$E$7=TH!H1798,OR(L1798="331",M1798="331")),"331",IF(AND(OR(L1798="131",M1798="131"),H1798='131-CT'!$E$7),"131",""))</f>
        <v>131</v>
      </c>
      <c r="O1798" s="857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1"/>
      <c r="AC1798" s="557"/>
    </row>
    <row r="1799" spans="1:30" s="211" customFormat="1" ht="15.75" customHeight="1">
      <c r="A1799" s="204" t="str">
        <f>IF(B1799&lt;&gt;"",IF(AND(B1799&gt;=_TM1,B1799&lt;=_TM2,OR(TH!L660="1111",TH!M660="1111")),TH!D660,""),"")</f>
        <v/>
      </c>
      <c r="B1799" s="36">
        <f t="shared" ref="B1799:B1862" si="87">IF(C1799&lt;&gt;"",MONTH(C1799),"")</f>
        <v>12</v>
      </c>
      <c r="C1799" s="184">
        <f t="shared" si="86"/>
        <v>42709</v>
      </c>
      <c r="D1799" s="184" t="s">
        <v>699</v>
      </c>
      <c r="E1799" s="191">
        <v>42709</v>
      </c>
      <c r="F1799" s="189" t="s">
        <v>1547</v>
      </c>
      <c r="G1799" s="192" t="s">
        <v>1318</v>
      </c>
      <c r="H1799" s="193"/>
      <c r="I1799" s="256"/>
      <c r="J1799" s="256"/>
      <c r="K1799" s="565">
        <v>18182</v>
      </c>
      <c r="L1799" s="566" t="s">
        <v>83</v>
      </c>
      <c r="M1799" s="566" t="s">
        <v>24</v>
      </c>
      <c r="N1799" s="52" t="str">
        <f>IF(AND('331-CT'!$E$7=TH!H1799,OR(L1799="331",M1799="331")),"331",IF(AND(OR(L1799="131",M1799="131"),H1799='131-CT'!$E$7),"131",""))</f>
        <v/>
      </c>
      <c r="O1799" s="857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>x</v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2">
        <v>4</v>
      </c>
      <c r="AC1799" s="557"/>
      <c r="AD1799" s="557"/>
    </row>
    <row r="1800" spans="1:30" s="211" customFormat="1" ht="15.75" customHeight="1">
      <c r="A1800" s="204" t="str">
        <f>IF(B1800&lt;&gt;"",IF(AND(B1800&gt;=_TM1,B1800&lt;=_TM2,OR(TH!L661="1111",TH!M661="1111")),TH!D661,""),"")</f>
        <v/>
      </c>
      <c r="B1800" s="36">
        <f t="shared" si="87"/>
        <v>12</v>
      </c>
      <c r="C1800" s="184">
        <f t="shared" si="86"/>
        <v>42709</v>
      </c>
      <c r="D1800" s="184" t="s">
        <v>699</v>
      </c>
      <c r="E1800" s="191">
        <v>42709</v>
      </c>
      <c r="F1800" s="189" t="s">
        <v>1548</v>
      </c>
      <c r="G1800" s="192" t="s">
        <v>1318</v>
      </c>
      <c r="H1800" s="7"/>
      <c r="I1800" s="256"/>
      <c r="J1800" s="256"/>
      <c r="K1800" s="565">
        <v>1818</v>
      </c>
      <c r="L1800" s="194" t="s">
        <v>9</v>
      </c>
      <c r="M1800" s="566" t="s">
        <v>24</v>
      </c>
      <c r="N1800" s="52" t="str">
        <f>IF(AND('331-CT'!$E$7=TH!H1800,OR(L1800="331",M1800="331")),"331",IF(AND(OR(L1800="131",M1800="131"),H1800='131-CT'!$E$7),"131",""))</f>
        <v/>
      </c>
      <c r="O1800" s="857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>x</v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2">
        <v>4</v>
      </c>
      <c r="AC1800" s="557"/>
    </row>
    <row r="1801" spans="1:30" s="211" customFormat="1" ht="15.75" customHeight="1">
      <c r="A1801" s="204" t="str">
        <f>IF(B1801&lt;&gt;"",IF(AND(B1801&gt;=_TM1,B1801&lt;=_TM2,OR(TH!L1855="1111",TH!M1855="1111")),TH!D1855,""),"")</f>
        <v/>
      </c>
      <c r="B1801" s="36">
        <f t="shared" si="87"/>
        <v>12</v>
      </c>
      <c r="C1801" s="184">
        <f t="shared" si="86"/>
        <v>42709</v>
      </c>
      <c r="D1801" s="184" t="s">
        <v>1165</v>
      </c>
      <c r="E1801" s="191">
        <v>42709</v>
      </c>
      <c r="F1801" s="40" t="s">
        <v>1286</v>
      </c>
      <c r="G1801" s="456" t="s">
        <v>1510</v>
      </c>
      <c r="H1801" s="7" t="s">
        <v>421</v>
      </c>
      <c r="I1801" s="257">
        <v>1870</v>
      </c>
      <c r="J1801" s="257">
        <v>5000</v>
      </c>
      <c r="K1801" s="38">
        <f>ROUND(I1801*J1801,0)</f>
        <v>9350000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57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1"/>
      <c r="AC1801" s="557" t="str">
        <f>IF(VLOOKUP(F1801,NXT!$C$35:$C$411,1,0)=F1801,"","x")</f>
        <v/>
      </c>
      <c r="AD1801" s="557"/>
    </row>
    <row r="1802" spans="1:30" s="211" customFormat="1" ht="15.75" customHeight="1">
      <c r="A1802" s="204">
        <f>IF(B1802&lt;&gt;"",IF(AND(B1802&gt;=_TM1,B1802&lt;=_TM2,OR(TH!L1856="1111",TH!M1856="1111")),TH!D1856,""),"")</f>
        <v>0</v>
      </c>
      <c r="B1802" s="36">
        <f t="shared" si="87"/>
        <v>12</v>
      </c>
      <c r="C1802" s="184">
        <f t="shared" si="86"/>
        <v>42709</v>
      </c>
      <c r="D1802" s="184" t="s">
        <v>1165</v>
      </c>
      <c r="E1802" s="191">
        <v>42709</v>
      </c>
      <c r="F1802" s="40" t="s">
        <v>471</v>
      </c>
      <c r="G1802" s="456" t="s">
        <v>1510</v>
      </c>
      <c r="H1802" s="7" t="s">
        <v>421</v>
      </c>
      <c r="I1802" s="257">
        <v>535</v>
      </c>
      <c r="J1802" s="257">
        <v>9700</v>
      </c>
      <c r="K1802" s="38">
        <f>ROUND(I1802*J1802,0)</f>
        <v>5189500</v>
      </c>
      <c r="L1802" s="194" t="s">
        <v>259</v>
      </c>
      <c r="M1802" s="194" t="s">
        <v>174</v>
      </c>
      <c r="N1802" s="52" t="str">
        <f>IF(AND('331-CT'!$E$7=TH!H1802,OR(L1802="331",M1802="331")),"331",IF(AND(OR(L1802="131",M1802="131"),H1802='131-CT'!$E$7),"131",""))</f>
        <v/>
      </c>
      <c r="O1802" s="857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1"/>
      <c r="AC1802" s="557" t="str">
        <f>IF(VLOOKUP(F1802,NXT!$C$35:$C$411,1,0)=F1802,"","x")</f>
        <v/>
      </c>
      <c r="AD1802" s="557"/>
    </row>
    <row r="1803" spans="1:30" s="211" customFormat="1" ht="15.75" customHeight="1">
      <c r="A1803" s="204" t="str">
        <f>IF(B1803&lt;&gt;"",IF(AND(B1803&gt;=_TM1,B1803&lt;=_TM2,OR(TH!L1857="1111",TH!M1857="1111")),TH!D1857,""),"")</f>
        <v/>
      </c>
      <c r="B1803" s="36">
        <f t="shared" si="87"/>
        <v>12</v>
      </c>
      <c r="C1803" s="184">
        <f t="shared" si="86"/>
        <v>42709</v>
      </c>
      <c r="D1803" s="184" t="s">
        <v>1165</v>
      </c>
      <c r="E1803" s="191">
        <v>42709</v>
      </c>
      <c r="F1803" s="40" t="s">
        <v>1287</v>
      </c>
      <c r="G1803" s="456" t="s">
        <v>1510</v>
      </c>
      <c r="H1803" s="7" t="s">
        <v>421</v>
      </c>
      <c r="I1803" s="257">
        <v>520</v>
      </c>
      <c r="J1803" s="257">
        <v>5550</v>
      </c>
      <c r="K1803" s="38">
        <f>ROUND(I1803*J1803,0)</f>
        <v>2886000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57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1"/>
      <c r="AC1803" s="557" t="str">
        <f>IF(VLOOKUP(F1803,NXT!$C$35:$C$411,1,0)=F1803,"","x")</f>
        <v/>
      </c>
    </row>
    <row r="1804" spans="1:30" s="211" customFormat="1" ht="15.75" customHeight="1">
      <c r="A1804" s="204" t="str">
        <f>IF(B1804&lt;&gt;"",IF(AND(B1804&gt;=_TM1,B1804&lt;=_TM2,OR(TH!L1858="1111",TH!M1858="1111")),TH!D1858,""),"")</f>
        <v/>
      </c>
      <c r="B1804" s="36">
        <f t="shared" si="87"/>
        <v>12</v>
      </c>
      <c r="C1804" s="184">
        <f t="shared" si="86"/>
        <v>42709</v>
      </c>
      <c r="D1804" s="184" t="s">
        <v>1165</v>
      </c>
      <c r="E1804" s="191">
        <v>42709</v>
      </c>
      <c r="F1804" s="40" t="s">
        <v>1285</v>
      </c>
      <c r="G1804" s="456" t="s">
        <v>1510</v>
      </c>
      <c r="H1804" s="7" t="s">
        <v>421</v>
      </c>
      <c r="I1804" s="257"/>
      <c r="J1804" s="257"/>
      <c r="K1804" s="38">
        <v>1742550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57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1"/>
      <c r="AC1804" s="557"/>
      <c r="AD1804" s="557"/>
    </row>
    <row r="1805" spans="1:30" s="211" customFormat="1" ht="15.75" customHeight="1">
      <c r="A1805" s="204">
        <f>IF(B1805&lt;&gt;"",IF(AND(B1805&gt;=_TM1,B1805&lt;=_TM2,OR(TH!L1859="1111",TH!M1859="1111")),TH!D1859,""),"")</f>
        <v>0</v>
      </c>
      <c r="B1805" s="36">
        <f t="shared" si="87"/>
        <v>12</v>
      </c>
      <c r="C1805" s="184">
        <f t="shared" si="86"/>
        <v>42710</v>
      </c>
      <c r="D1805" s="184" t="s">
        <v>1166</v>
      </c>
      <c r="E1805" s="191">
        <v>42710</v>
      </c>
      <c r="F1805" s="40" t="s">
        <v>1512</v>
      </c>
      <c r="G1805" s="456" t="s">
        <v>1511</v>
      </c>
      <c r="H1805" s="7" t="s">
        <v>447</v>
      </c>
      <c r="I1805" s="257">
        <v>52</v>
      </c>
      <c r="J1805" s="257">
        <v>11600</v>
      </c>
      <c r="K1805" s="38">
        <f>ROUND(I1805*J1805,0)</f>
        <v>603200</v>
      </c>
      <c r="L1805" s="194" t="s">
        <v>259</v>
      </c>
      <c r="M1805" s="194" t="s">
        <v>174</v>
      </c>
      <c r="N1805" s="52" t="str">
        <f>IF(AND('331-CT'!$E$7=TH!H1805,OR(L1805="331",M1805="331")),"331",IF(AND(OR(L1805="131",M1805="131"),H1805='131-CT'!$E$7),"131",""))</f>
        <v/>
      </c>
      <c r="O1805" s="857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1"/>
      <c r="AC1805" s="557" t="str">
        <f>IF(VLOOKUP(F1805,NXT!$C$35:$C$411,1,0)=F1805,"","x")</f>
        <v/>
      </c>
      <c r="AD1805" s="557"/>
    </row>
    <row r="1806" spans="1:30" s="211" customFormat="1" ht="15.75" customHeight="1">
      <c r="A1806" s="204" t="str">
        <f>IF(B1806&lt;&gt;"",IF(AND(B1806&gt;=_TM1,B1806&lt;=_TM2,OR(TH!L1860="1111",TH!M1860="1111")),TH!D1860,""),"")</f>
        <v/>
      </c>
      <c r="B1806" s="36">
        <f t="shared" si="87"/>
        <v>12</v>
      </c>
      <c r="C1806" s="184">
        <f t="shared" si="86"/>
        <v>42710</v>
      </c>
      <c r="D1806" s="184" t="s">
        <v>1166</v>
      </c>
      <c r="E1806" s="191">
        <v>42710</v>
      </c>
      <c r="F1806" s="40" t="s">
        <v>1513</v>
      </c>
      <c r="G1806" s="456" t="s">
        <v>1511</v>
      </c>
      <c r="H1806" s="7" t="s">
        <v>447</v>
      </c>
      <c r="I1806" s="257">
        <v>114</v>
      </c>
      <c r="J1806" s="257">
        <v>12000</v>
      </c>
      <c r="K1806" s="38">
        <f>ROUND(I1806*J1806,0)</f>
        <v>1368000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57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1"/>
      <c r="AC1806" s="557" t="str">
        <f>IF(VLOOKUP(F1806,NXT!$C$35:$C$411,1,0)=F1806,"","x")</f>
        <v/>
      </c>
    </row>
    <row r="1807" spans="1:30" s="211" customFormat="1" ht="15.75" customHeight="1">
      <c r="A1807" s="204" t="str">
        <f>IF(B1807&lt;&gt;"",IF(AND(B1807&gt;=_TM1,B1807&lt;=_TM2,OR(TH!L1861="1111",TH!M1861="1111")),TH!D1861,""),"")</f>
        <v/>
      </c>
      <c r="B1807" s="36">
        <f t="shared" si="87"/>
        <v>12</v>
      </c>
      <c r="C1807" s="184">
        <f t="shared" si="86"/>
        <v>42710</v>
      </c>
      <c r="D1807" s="184" t="s">
        <v>1166</v>
      </c>
      <c r="E1807" s="191">
        <v>42710</v>
      </c>
      <c r="F1807" s="40" t="s">
        <v>1285</v>
      </c>
      <c r="G1807" s="456" t="s">
        <v>1511</v>
      </c>
      <c r="H1807" s="7" t="s">
        <v>447</v>
      </c>
      <c r="I1807" s="257"/>
      <c r="J1807" s="257"/>
      <c r="K1807" s="38">
        <v>197120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57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1"/>
      <c r="AC1807" s="557"/>
      <c r="AD1807" s="557"/>
    </row>
    <row r="1808" spans="1:30" s="211" customFormat="1" ht="15.75" customHeight="1">
      <c r="A1808" s="204">
        <f>IF(B1808&lt;&gt;"",IF(AND(B1808&gt;=_TM1,B1808&lt;=_TM2,OR(TH!L1862="1111",TH!M1862="1111")),TH!D1862,""),"")</f>
        <v>0</v>
      </c>
      <c r="B1808" s="36">
        <f t="shared" si="87"/>
        <v>12</v>
      </c>
      <c r="C1808" s="184">
        <f t="shared" si="86"/>
        <v>42710</v>
      </c>
      <c r="D1808" s="184" t="s">
        <v>1167</v>
      </c>
      <c r="E1808" s="191">
        <v>42710</v>
      </c>
      <c r="F1808" s="40" t="s">
        <v>1516</v>
      </c>
      <c r="G1808" s="456" t="s">
        <v>1514</v>
      </c>
      <c r="H1808" s="193" t="s">
        <v>1515</v>
      </c>
      <c r="I1808" s="257">
        <v>879</v>
      </c>
      <c r="J1808" s="257">
        <v>3100</v>
      </c>
      <c r="K1808" s="38">
        <f>ROUND(I1808*J1808,0)</f>
        <v>2724900</v>
      </c>
      <c r="L1808" s="194" t="s">
        <v>259</v>
      </c>
      <c r="M1808" s="194" t="s">
        <v>174</v>
      </c>
      <c r="N1808" s="52" t="str">
        <f>IF(AND('331-CT'!$E$7=TH!H1808,OR(L1808="331",M1808="331")),"331",IF(AND(OR(L1808="131",M1808="131"),H1808='131-CT'!$E$7),"131",""))</f>
        <v/>
      </c>
      <c r="O1808" s="857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1"/>
      <c r="AC1808" s="557" t="str">
        <f>IF(VLOOKUP(F1808,NXT!$C$35:$C$411,1,0)=F1808,"","x")</f>
        <v/>
      </c>
    </row>
    <row r="1809" spans="1:30" s="211" customFormat="1" ht="15.75" customHeight="1">
      <c r="A1809" s="204" t="str">
        <f>IF(B1809&lt;&gt;"",IF(AND(B1809&gt;=_TM1,B1809&lt;=_TM2,OR(TH!L1863="1111",TH!M1863="1111")),TH!D1863,""),"")</f>
        <v/>
      </c>
      <c r="B1809" s="36">
        <f t="shared" si="87"/>
        <v>12</v>
      </c>
      <c r="C1809" s="184">
        <f t="shared" si="86"/>
        <v>42710</v>
      </c>
      <c r="D1809" s="184" t="s">
        <v>1167</v>
      </c>
      <c r="E1809" s="191">
        <v>42710</v>
      </c>
      <c r="F1809" s="40" t="s">
        <v>1517</v>
      </c>
      <c r="G1809" s="456" t="s">
        <v>1514</v>
      </c>
      <c r="H1809" s="193" t="s">
        <v>1515</v>
      </c>
      <c r="I1809" s="257">
        <v>523</v>
      </c>
      <c r="J1809" s="257">
        <v>4300</v>
      </c>
      <c r="K1809" s="38">
        <f>ROUND(I1809*J1809,0)</f>
        <v>2248900</v>
      </c>
      <c r="L1809" s="194" t="s">
        <v>259</v>
      </c>
      <c r="M1809" s="194" t="s">
        <v>174</v>
      </c>
      <c r="N1809" s="52" t="str">
        <f>IF(AND('331-CT'!$E$7=TH!H1809,OR(L1809="331",M1809="331")),"331",IF(AND(OR(L1809="131",M1809="131"),H1809='131-CT'!$E$7),"131",""))</f>
        <v/>
      </c>
      <c r="O1809" s="857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1"/>
      <c r="AC1809" s="557" t="str">
        <f>IF(VLOOKUP(F1809,NXT!$C$35:$C$411,1,0)=F1809,"","x")</f>
        <v/>
      </c>
      <c r="AD1809" s="557"/>
    </row>
    <row r="1810" spans="1:30" s="211" customFormat="1" ht="15.75" customHeight="1">
      <c r="A1810" s="204" t="str">
        <f>IF(B1810&lt;&gt;"",IF(AND(B1810&gt;=_TM1,B1810&lt;=_TM2,OR(TH!L1864="1111",TH!M1864="1111")),TH!D1864,""),"")</f>
        <v/>
      </c>
      <c r="B1810" s="36">
        <f t="shared" si="87"/>
        <v>12</v>
      </c>
      <c r="C1810" s="184">
        <f t="shared" si="86"/>
        <v>42710</v>
      </c>
      <c r="D1810" s="184" t="s">
        <v>1167</v>
      </c>
      <c r="E1810" s="191">
        <v>42710</v>
      </c>
      <c r="F1810" s="40" t="s">
        <v>1285</v>
      </c>
      <c r="G1810" s="456" t="s">
        <v>1514</v>
      </c>
      <c r="H1810" s="193" t="s">
        <v>1515</v>
      </c>
      <c r="I1810" s="257"/>
      <c r="J1810" s="257"/>
      <c r="K1810" s="38">
        <v>497380</v>
      </c>
      <c r="L1810" s="194" t="s">
        <v>259</v>
      </c>
      <c r="M1810" s="194" t="s">
        <v>370</v>
      </c>
      <c r="N1810" s="52" t="str">
        <f>IF(AND('331-CT'!$E$7=TH!H1810,OR(L1810="331",M1810="331")),"331",IF(AND(OR(L1810="131",M1810="131"),H1810='131-CT'!$E$7),"131",""))</f>
        <v/>
      </c>
      <c r="O1810" s="857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1"/>
      <c r="AC1810" s="557"/>
      <c r="AD1810" s="557"/>
    </row>
    <row r="1811" spans="1:30" s="211" customFormat="1" ht="15.75" customHeight="1">
      <c r="A1811" s="204" t="str">
        <f>IF(B1811&lt;&gt;"",IF(AND(B1811&gt;=_TM1,B1811&lt;=_TM2,OR(TH!L1865="1111",TH!M1865="1111")),TH!D1865,""),"")</f>
        <v/>
      </c>
      <c r="B1811" s="36">
        <f t="shared" si="87"/>
        <v>12</v>
      </c>
      <c r="C1811" s="184">
        <f t="shared" si="86"/>
        <v>42710</v>
      </c>
      <c r="D1811" s="184" t="s">
        <v>1168</v>
      </c>
      <c r="E1811" s="191">
        <v>42710</v>
      </c>
      <c r="F1811" s="40" t="s">
        <v>1505</v>
      </c>
      <c r="G1811" s="456" t="s">
        <v>1518</v>
      </c>
      <c r="H1811" s="193" t="s">
        <v>1503</v>
      </c>
      <c r="I1811" s="257">
        <v>2400</v>
      </c>
      <c r="J1811" s="257">
        <v>7500</v>
      </c>
      <c r="K1811" s="38">
        <f>ROUND(I1811*J1811,0)</f>
        <v>18000000</v>
      </c>
      <c r="L1811" s="194" t="s">
        <v>259</v>
      </c>
      <c r="M1811" s="194" t="s">
        <v>174</v>
      </c>
      <c r="N1811" s="52" t="str">
        <f>IF(AND('331-CT'!$E$7=TH!H1811,OR(L1811="331",M1811="331")),"331",IF(AND(OR(L1811="131",M1811="131"),H1811='131-CT'!$E$7),"131",""))</f>
        <v/>
      </c>
      <c r="O1811" s="857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1"/>
      <c r="AC1811" s="557" t="str">
        <f>IF(VLOOKUP(F1811,NXT!$C$35:$C$411,1,0)=F1811,"","x")</f>
        <v/>
      </c>
    </row>
    <row r="1812" spans="1:30" s="211" customFormat="1" ht="15.75" customHeight="1">
      <c r="A1812" s="204" t="str">
        <f>IF(B1812&lt;&gt;"",IF(AND(B1812&gt;=_TM1,B1812&lt;=_TM2,OR(TH!L1866="1111",TH!M1866="1111")),TH!D1866,""),"")</f>
        <v/>
      </c>
      <c r="B1812" s="36">
        <f t="shared" si="87"/>
        <v>12</v>
      </c>
      <c r="C1812" s="184">
        <f t="shared" si="86"/>
        <v>42710</v>
      </c>
      <c r="D1812" s="184" t="s">
        <v>1168</v>
      </c>
      <c r="E1812" s="191">
        <v>42710</v>
      </c>
      <c r="F1812" s="40" t="s">
        <v>1285</v>
      </c>
      <c r="G1812" s="456" t="s">
        <v>1518</v>
      </c>
      <c r="H1812" s="193" t="s">
        <v>1503</v>
      </c>
      <c r="I1812" s="257"/>
      <c r="J1812" s="257"/>
      <c r="K1812" s="38">
        <v>1800000</v>
      </c>
      <c r="L1812" s="194" t="s">
        <v>259</v>
      </c>
      <c r="M1812" s="194" t="s">
        <v>370</v>
      </c>
      <c r="N1812" s="52" t="str">
        <f>IF(AND('331-CT'!$E$7=TH!H1812,OR(L1812="331",M1812="331")),"331",IF(AND(OR(L1812="131",M1812="131"),H1812='131-CT'!$E$7),"131",""))</f>
        <v/>
      </c>
      <c r="O1812" s="857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1"/>
      <c r="AC1812" s="557"/>
      <c r="AD1812" s="557"/>
    </row>
    <row r="1813" spans="1:30" s="211" customFormat="1" ht="15.75" customHeight="1">
      <c r="A1813" s="204" t="str">
        <f>IF(B1813&lt;&gt;"",IF(AND(B1813&gt;=_TM1,B1813&lt;=_TM2,OR(TH!L1867="1111",TH!M1867="1111")),TH!D1867,""),"")</f>
        <v/>
      </c>
      <c r="B1813" s="36">
        <f t="shared" si="87"/>
        <v>12</v>
      </c>
      <c r="C1813" s="184">
        <f t="shared" si="86"/>
        <v>42710</v>
      </c>
      <c r="D1813" s="184"/>
      <c r="E1813" s="191">
        <v>42710</v>
      </c>
      <c r="F1813" s="40" t="s">
        <v>1504</v>
      </c>
      <c r="G1813" s="456" t="s">
        <v>1518</v>
      </c>
      <c r="H1813" s="193" t="s">
        <v>1503</v>
      </c>
      <c r="I1813" s="257"/>
      <c r="J1813" s="257"/>
      <c r="K1813" s="38">
        <v>19800000</v>
      </c>
      <c r="L1813" s="194" t="s">
        <v>47</v>
      </c>
      <c r="M1813" s="194" t="s">
        <v>259</v>
      </c>
      <c r="N1813" s="52" t="str">
        <f>IF(AND('331-CT'!$E$7=TH!H1813,OR(L1813="331",M1813="331")),"331",IF(AND(OR(L1813="131",M1813="131"),H1813='131-CT'!$E$7),"131",""))</f>
        <v/>
      </c>
      <c r="O1813" s="857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1"/>
      <c r="AC1813" s="557"/>
      <c r="AD1813" s="557"/>
    </row>
    <row r="1814" spans="1:30" s="211" customFormat="1" ht="15.75" customHeight="1">
      <c r="A1814" s="204" t="str">
        <f>IF(B1814&lt;&gt;"",IF(AND(B1814&gt;=_TM1,B1814&lt;=_TM2,OR(TH!L1868="1111",TH!M1868="1111")),TH!D1868,""),"")</f>
        <v/>
      </c>
      <c r="B1814" s="36">
        <f t="shared" si="87"/>
        <v>12</v>
      </c>
      <c r="C1814" s="184">
        <f t="shared" si="86"/>
        <v>42711</v>
      </c>
      <c r="D1814" s="184" t="s">
        <v>1169</v>
      </c>
      <c r="E1814" s="191">
        <v>42711</v>
      </c>
      <c r="F1814" s="40" t="s">
        <v>1505</v>
      </c>
      <c r="G1814" s="456" t="s">
        <v>1519</v>
      </c>
      <c r="H1814" s="193" t="s">
        <v>1503</v>
      </c>
      <c r="I1814" s="257">
        <v>2400</v>
      </c>
      <c r="J1814" s="257">
        <v>7500</v>
      </c>
      <c r="K1814" s="38">
        <f>ROUND(I1814*J1814,0)</f>
        <v>18000000</v>
      </c>
      <c r="L1814" s="194" t="s">
        <v>259</v>
      </c>
      <c r="M1814" s="194" t="s">
        <v>174</v>
      </c>
      <c r="N1814" s="52" t="str">
        <f>IF(AND('331-CT'!$E$7=TH!H1814,OR(L1814="331",M1814="331")),"331",IF(AND(OR(L1814="131",M1814="131"),H1814='131-CT'!$E$7),"131",""))</f>
        <v/>
      </c>
      <c r="O1814" s="857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1"/>
      <c r="AC1814" s="557" t="str">
        <f>IF(VLOOKUP(F1814,NXT!$C$35:$C$411,1,0)=F1814,"","x")</f>
        <v/>
      </c>
    </row>
    <row r="1815" spans="1:30" s="211" customFormat="1" ht="15.75" customHeight="1">
      <c r="A1815" s="204" t="str">
        <f>IF(B1815&lt;&gt;"",IF(AND(B1815&gt;=_TM1,B1815&lt;=_TM2,OR(TH!L1869="1111",TH!M1869="1111")),TH!D1869,""),"")</f>
        <v/>
      </c>
      <c r="B1815" s="36">
        <f t="shared" si="87"/>
        <v>12</v>
      </c>
      <c r="C1815" s="184">
        <f t="shared" si="86"/>
        <v>42711</v>
      </c>
      <c r="D1815" s="184" t="s">
        <v>1169</v>
      </c>
      <c r="E1815" s="191">
        <v>42711</v>
      </c>
      <c r="F1815" s="40" t="s">
        <v>1285</v>
      </c>
      <c r="G1815" s="456" t="s">
        <v>1519</v>
      </c>
      <c r="H1815" s="193" t="s">
        <v>1503</v>
      </c>
      <c r="I1815" s="257"/>
      <c r="J1815" s="257"/>
      <c r="K1815" s="38">
        <v>1800000</v>
      </c>
      <c r="L1815" s="194" t="s">
        <v>259</v>
      </c>
      <c r="M1815" s="194" t="s">
        <v>370</v>
      </c>
      <c r="N1815" s="52" t="str">
        <f>IF(AND('331-CT'!$E$7=TH!H1815,OR(L1815="331",M1815="331")),"331",IF(AND(OR(L1815="131",M1815="131"),H1815='131-CT'!$E$7),"131",""))</f>
        <v/>
      </c>
      <c r="O1815" s="857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1"/>
      <c r="AC1815" s="557"/>
      <c r="AD1815" s="557"/>
    </row>
    <row r="1816" spans="1:30" s="211" customFormat="1" ht="15.75" customHeight="1">
      <c r="A1816" s="204" t="str">
        <f>IF(B1816&lt;&gt;"",IF(AND(B1816&gt;=_TM1,B1816&lt;=_TM2,OR(TH!L1870="1111",TH!M1870="1111")),TH!D1870,""),"")</f>
        <v/>
      </c>
      <c r="B1816" s="36">
        <f t="shared" si="87"/>
        <v>12</v>
      </c>
      <c r="C1816" s="184">
        <f t="shared" si="86"/>
        <v>42711</v>
      </c>
      <c r="D1816" s="184"/>
      <c r="E1816" s="191">
        <v>42711</v>
      </c>
      <c r="F1816" s="40" t="s">
        <v>1504</v>
      </c>
      <c r="G1816" s="456" t="s">
        <v>1519</v>
      </c>
      <c r="H1816" s="193" t="s">
        <v>1503</v>
      </c>
      <c r="I1816" s="257"/>
      <c r="J1816" s="257"/>
      <c r="K1816" s="38">
        <v>19800000</v>
      </c>
      <c r="L1816" s="194" t="s">
        <v>47</v>
      </c>
      <c r="M1816" s="194" t="s">
        <v>259</v>
      </c>
      <c r="N1816" s="52" t="str">
        <f>IF(AND('331-CT'!$E$7=TH!H1816,OR(L1816="331",M1816="331")),"331",IF(AND(OR(L1816="131",M1816="131"),H1816='131-CT'!$E$7),"131",""))</f>
        <v/>
      </c>
      <c r="O1816" s="857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1"/>
      <c r="AC1816" s="557"/>
    </row>
    <row r="1817" spans="1:30" s="211" customFormat="1" ht="15.75" customHeight="1">
      <c r="A1817" s="204" t="str">
        <f>IF(B1817&lt;&gt;"",IF(AND(B1817&gt;=_TM1,B1817&lt;=_TM2,OR(TH!L662="1111",TH!M662="1111")),TH!D662,""),"")</f>
        <v/>
      </c>
      <c r="B1817" s="36">
        <f t="shared" si="87"/>
        <v>12</v>
      </c>
      <c r="C1817" s="184">
        <f t="shared" si="86"/>
        <v>42712</v>
      </c>
      <c r="D1817" s="184" t="s">
        <v>699</v>
      </c>
      <c r="E1817" s="191">
        <v>42712</v>
      </c>
      <c r="F1817" s="192" t="s">
        <v>696</v>
      </c>
      <c r="G1817" s="192" t="s">
        <v>1318</v>
      </c>
      <c r="H1817" s="7" t="s">
        <v>645</v>
      </c>
      <c r="I1817" s="256"/>
      <c r="J1817" s="256"/>
      <c r="K1817" s="565">
        <v>7623000</v>
      </c>
      <c r="L1817" s="566" t="s">
        <v>24</v>
      </c>
      <c r="M1817" s="566" t="s">
        <v>259</v>
      </c>
      <c r="N1817" s="52" t="str">
        <f>IF(AND('331-CT'!$E$7=TH!H1817,OR(L1817="331",M1817="331")),"331",IF(AND(OR(L1817="131",M1817="131"),H1817='131-CT'!$E$7),"131",""))</f>
        <v/>
      </c>
      <c r="O1817" s="857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2"/>
      <c r="AC1817" s="557"/>
      <c r="AD1817" s="557"/>
    </row>
    <row r="1818" spans="1:30" s="211" customFormat="1" ht="15.75" customHeight="1">
      <c r="A1818" s="204" t="str">
        <f>IF(B1818&lt;&gt;"",IF(AND(B1818&gt;=_TM1,B1818&lt;=_TM2,OR(TH!L663="1111",TH!M663="1111")),TH!D663,""),"")</f>
        <v/>
      </c>
      <c r="B1818" s="36">
        <f t="shared" si="87"/>
        <v>12</v>
      </c>
      <c r="C1818" s="184">
        <f t="shared" si="86"/>
        <v>42713</v>
      </c>
      <c r="D1818" s="184" t="s">
        <v>699</v>
      </c>
      <c r="E1818" s="191">
        <v>42713</v>
      </c>
      <c r="F1818" s="189" t="s">
        <v>785</v>
      </c>
      <c r="G1818" s="192" t="s">
        <v>1318</v>
      </c>
      <c r="H1818" s="193" t="s">
        <v>1313</v>
      </c>
      <c r="I1818" s="256"/>
      <c r="J1818" s="256"/>
      <c r="K1818" s="565">
        <v>49000000</v>
      </c>
      <c r="L1818" s="566" t="s">
        <v>24</v>
      </c>
      <c r="M1818" s="566" t="s">
        <v>47</v>
      </c>
      <c r="N1818" s="52" t="str">
        <f>IF(AND('331-CT'!$E$7=TH!H1818,OR(L1818="331",M1818="331")),"331",IF(AND(OR(L1818="131",M1818="131"),H1818='131-CT'!$E$7),"131",""))</f>
        <v/>
      </c>
      <c r="O1818" s="857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2"/>
      <c r="AC1818" s="557"/>
      <c r="AD1818" s="557"/>
    </row>
    <row r="1819" spans="1:30" s="211" customFormat="1" ht="15.75" customHeight="1">
      <c r="A1819" s="204" t="str">
        <f>IF(B1819&lt;&gt;"",IF(AND(B1819&gt;=_TM1,B1819&lt;=_TM2,OR(TH!L664="1111",TH!M664="1111")),TH!D664,""),"")</f>
        <v/>
      </c>
      <c r="B1819" s="36">
        <f t="shared" si="87"/>
        <v>12</v>
      </c>
      <c r="C1819" s="184">
        <f t="shared" si="86"/>
        <v>42713</v>
      </c>
      <c r="D1819" s="184" t="s">
        <v>699</v>
      </c>
      <c r="E1819" s="191">
        <v>42713</v>
      </c>
      <c r="F1819" s="189" t="s">
        <v>701</v>
      </c>
      <c r="G1819" s="192" t="s">
        <v>1318</v>
      </c>
      <c r="H1819" s="7"/>
      <c r="I1819" s="256"/>
      <c r="J1819" s="256"/>
      <c r="K1819" s="565">
        <v>50000000</v>
      </c>
      <c r="L1819" s="566" t="s">
        <v>8</v>
      </c>
      <c r="M1819" s="566" t="s">
        <v>24</v>
      </c>
      <c r="N1819" s="52" t="str">
        <f>IF(AND('331-CT'!$E$7=TH!H1819,OR(L1819="331",M1819="331")),"331",IF(AND(OR(L1819="131",M1819="131"),H1819='131-CT'!$E$7),"131",""))</f>
        <v/>
      </c>
      <c r="O1819" s="857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2"/>
      <c r="AC1819" s="557"/>
    </row>
    <row r="1820" spans="1:30" s="211" customFormat="1" ht="15.75" customHeight="1">
      <c r="A1820" s="204" t="str">
        <f>IF(B1820&lt;&gt;"",IF(AND(B1820&gt;=_TM1,B1820&lt;=_TM2,OR(TH!L665="1111",TH!M665="1111")),TH!D665,""),"")</f>
        <v/>
      </c>
      <c r="B1820" s="36">
        <f t="shared" si="87"/>
        <v>12</v>
      </c>
      <c r="C1820" s="184">
        <f t="shared" si="86"/>
        <v>42713</v>
      </c>
      <c r="D1820" s="184" t="s">
        <v>699</v>
      </c>
      <c r="E1820" s="191">
        <v>42713</v>
      </c>
      <c r="F1820" s="192" t="s">
        <v>702</v>
      </c>
      <c r="G1820" s="192" t="s">
        <v>1318</v>
      </c>
      <c r="H1820" s="193"/>
      <c r="I1820" s="256"/>
      <c r="J1820" s="256"/>
      <c r="K1820" s="565">
        <v>15000</v>
      </c>
      <c r="L1820" s="566" t="s">
        <v>83</v>
      </c>
      <c r="M1820" s="566" t="s">
        <v>24</v>
      </c>
      <c r="N1820" s="52" t="str">
        <f>IF(AND('331-CT'!$E$7=TH!H1820,OR(L1820="331",M1820="331")),"331",IF(AND(OR(L1820="131",M1820="131"),H1820='131-CT'!$E$7),"131",""))</f>
        <v/>
      </c>
      <c r="O1820" s="857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>x</v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2">
        <v>4</v>
      </c>
      <c r="AC1820" s="557"/>
      <c r="AD1820" s="557"/>
    </row>
    <row r="1821" spans="1:30" s="211" customFormat="1" ht="15.75" customHeight="1">
      <c r="A1821" s="204" t="str">
        <f>IF(B1821&lt;&gt;"",IF(AND(B1821&gt;=_TM1,B1821&lt;=_TM2,OR(TH!L666="1111",TH!M666="1111")),TH!D666,""),"")</f>
        <v/>
      </c>
      <c r="B1821" s="36">
        <f t="shared" si="87"/>
        <v>12</v>
      </c>
      <c r="C1821" s="184">
        <f t="shared" si="86"/>
        <v>42713</v>
      </c>
      <c r="D1821" s="184" t="s">
        <v>699</v>
      </c>
      <c r="E1821" s="191">
        <v>42713</v>
      </c>
      <c r="F1821" s="192" t="s">
        <v>793</v>
      </c>
      <c r="G1821" s="192" t="s">
        <v>1318</v>
      </c>
      <c r="H1821" s="7"/>
      <c r="I1821" s="256"/>
      <c r="J1821" s="256"/>
      <c r="K1821" s="565">
        <v>1500</v>
      </c>
      <c r="L1821" s="194" t="s">
        <v>9</v>
      </c>
      <c r="M1821" s="566" t="s">
        <v>24</v>
      </c>
      <c r="N1821" s="52" t="str">
        <f>IF(AND('331-CT'!$E$7=TH!H1821,OR(L1821="331",M1821="331")),"331",IF(AND(OR(L1821="131",M1821="131"),H1821='131-CT'!$E$7),"131",""))</f>
        <v/>
      </c>
      <c r="O1821" s="857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2">
        <v>4</v>
      </c>
      <c r="AC1821" s="557"/>
      <c r="AD1821" s="557"/>
    </row>
    <row r="1822" spans="1:30" s="211" customFormat="1" ht="15.75" customHeight="1">
      <c r="A1822" s="204" t="str">
        <f>IF(B1822&lt;&gt;"",IF(AND(B1822&gt;=_TM1,B1822&lt;=_TM2,OR(TH!L667="1111",TH!M667="1111")),TH!D667,""),"")</f>
        <v/>
      </c>
      <c r="B1822" s="36">
        <f t="shared" si="87"/>
        <v>12</v>
      </c>
      <c r="C1822" s="184">
        <f t="shared" si="86"/>
        <v>42713</v>
      </c>
      <c r="D1822" s="184" t="s">
        <v>699</v>
      </c>
      <c r="E1822" s="191">
        <v>42713</v>
      </c>
      <c r="F1822" s="189" t="s">
        <v>701</v>
      </c>
      <c r="G1822" s="192" t="s">
        <v>1318</v>
      </c>
      <c r="H1822" s="7"/>
      <c r="I1822" s="256"/>
      <c r="J1822" s="256"/>
      <c r="K1822" s="565">
        <v>10000000</v>
      </c>
      <c r="L1822" s="566" t="s">
        <v>8</v>
      </c>
      <c r="M1822" s="566" t="s">
        <v>24</v>
      </c>
      <c r="N1822" s="52" t="str">
        <f>IF(AND('331-CT'!$E$7=TH!H1822,OR(L1822="331",M1822="331")),"331",IF(AND(OR(L1822="131",M1822="131"),H1822='131-CT'!$E$7),"131",""))</f>
        <v/>
      </c>
      <c r="O1822" s="857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2"/>
      <c r="AC1822" s="557"/>
    </row>
    <row r="1823" spans="1:30" s="211" customFormat="1" ht="15.75" customHeight="1">
      <c r="A1823" s="204" t="str">
        <f>IF(B1823&lt;&gt;"",IF(AND(B1823&gt;=_TM1,B1823&lt;=_TM2,OR(TH!L668="1111",TH!M668="1111")),TH!D668,""),"")</f>
        <v/>
      </c>
      <c r="B1823" s="36">
        <f t="shared" si="87"/>
        <v>12</v>
      </c>
      <c r="C1823" s="184">
        <f t="shared" si="86"/>
        <v>42713</v>
      </c>
      <c r="D1823" s="184" t="s">
        <v>699</v>
      </c>
      <c r="E1823" s="191">
        <v>42713</v>
      </c>
      <c r="F1823" s="192" t="s">
        <v>702</v>
      </c>
      <c r="G1823" s="192" t="s">
        <v>1318</v>
      </c>
      <c r="H1823" s="193"/>
      <c r="I1823" s="256"/>
      <c r="J1823" s="256"/>
      <c r="K1823" s="565">
        <v>15000</v>
      </c>
      <c r="L1823" s="566" t="s">
        <v>83</v>
      </c>
      <c r="M1823" s="566" t="s">
        <v>24</v>
      </c>
      <c r="N1823" s="52" t="str">
        <f>IF(AND('331-CT'!$E$7=TH!H1823,OR(L1823="331",M1823="331")),"331",IF(AND(OR(L1823="131",M1823="131"),H1823='131-CT'!$E$7),"131",""))</f>
        <v/>
      </c>
      <c r="O1823" s="857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>x</v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2">
        <v>4</v>
      </c>
      <c r="AC1823" s="557"/>
      <c r="AD1823" s="557"/>
    </row>
    <row r="1824" spans="1:30" s="211" customFormat="1" ht="15.75" customHeight="1">
      <c r="A1824" s="204" t="str">
        <f>IF(B1824&lt;&gt;"",IF(AND(B1824&gt;=_TM1,B1824&lt;=_TM2,OR(TH!L669="1111",TH!M669="1111")),TH!D669,""),"")</f>
        <v/>
      </c>
      <c r="B1824" s="36">
        <f t="shared" si="87"/>
        <v>12</v>
      </c>
      <c r="C1824" s="184">
        <f t="shared" si="86"/>
        <v>42713</v>
      </c>
      <c r="D1824" s="184" t="s">
        <v>699</v>
      </c>
      <c r="E1824" s="191">
        <v>42713</v>
      </c>
      <c r="F1824" s="192" t="s">
        <v>793</v>
      </c>
      <c r="G1824" s="192" t="s">
        <v>1318</v>
      </c>
      <c r="H1824" s="7"/>
      <c r="I1824" s="256"/>
      <c r="J1824" s="256"/>
      <c r="K1824" s="565">
        <v>1500</v>
      </c>
      <c r="L1824" s="194" t="s">
        <v>9</v>
      </c>
      <c r="M1824" s="566" t="s">
        <v>24</v>
      </c>
      <c r="N1824" s="52" t="str">
        <f>IF(AND('331-CT'!$E$7=TH!H1824,OR(L1824="331",M1824="331")),"331",IF(AND(OR(L1824="131",M1824="131"),H1824='131-CT'!$E$7),"131",""))</f>
        <v/>
      </c>
      <c r="O1824" s="857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>x</v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2">
        <v>4</v>
      </c>
      <c r="AC1824" s="557"/>
      <c r="AD1824" s="557"/>
    </row>
    <row r="1825" spans="1:30" s="211" customFormat="1" ht="15.75" customHeight="1">
      <c r="A1825" s="204" t="str">
        <f>IF(B1825&lt;&gt;"",IF(AND(B1825&gt;=_TM1,B1825&lt;=_TM2,OR(TH!L1871="1111",TH!M1871="1111")),TH!D1871,""),"")</f>
        <v/>
      </c>
      <c r="B1825" s="36">
        <f t="shared" si="87"/>
        <v>12</v>
      </c>
      <c r="C1825" s="184">
        <f t="shared" si="86"/>
        <v>42713</v>
      </c>
      <c r="D1825" s="184" t="s">
        <v>1170</v>
      </c>
      <c r="E1825" s="191">
        <v>42713</v>
      </c>
      <c r="F1825" s="40" t="s">
        <v>1334</v>
      </c>
      <c r="G1825" s="456" t="s">
        <v>1520</v>
      </c>
      <c r="H1825" s="7" t="s">
        <v>811</v>
      </c>
      <c r="I1825" s="257">
        <v>1510</v>
      </c>
      <c r="J1825" s="257">
        <v>7700</v>
      </c>
      <c r="K1825" s="38">
        <f>ROUND(I1825*J1825,0)</f>
        <v>11627000</v>
      </c>
      <c r="L1825" s="194" t="s">
        <v>259</v>
      </c>
      <c r="M1825" s="194" t="s">
        <v>174</v>
      </c>
      <c r="N1825" s="52" t="str">
        <f>IF(AND('331-CT'!$E$7=TH!H1825,OR(L1825="331",M1825="331")),"331",IF(AND(OR(L1825="131",M1825="131"),H1825='131-CT'!$E$7),"131",""))</f>
        <v/>
      </c>
      <c r="O1825" s="857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1"/>
      <c r="AC1825" s="557" t="str">
        <f>IF(VLOOKUP(F1825,NXT!$C$35:$C$411,1,0)=F1825,"","x")</f>
        <v/>
      </c>
      <c r="AD1825" s="557"/>
    </row>
    <row r="1826" spans="1:30" s="211" customFormat="1" ht="15.75" customHeight="1">
      <c r="A1826" s="204" t="str">
        <f>IF(B1826&lt;&gt;"",IF(AND(B1826&gt;=_TM1,B1826&lt;=_TM2,OR(TH!L1872="1111",TH!M1872="1111")),TH!D1872,""),"")</f>
        <v/>
      </c>
      <c r="B1826" s="36">
        <f t="shared" si="87"/>
        <v>12</v>
      </c>
      <c r="C1826" s="184">
        <f t="shared" si="86"/>
        <v>42713</v>
      </c>
      <c r="D1826" s="184" t="s">
        <v>1170</v>
      </c>
      <c r="E1826" s="191">
        <v>42713</v>
      </c>
      <c r="F1826" s="40" t="s">
        <v>1346</v>
      </c>
      <c r="G1826" s="456" t="s">
        <v>1520</v>
      </c>
      <c r="H1826" s="7" t="s">
        <v>811</v>
      </c>
      <c r="I1826" s="257">
        <v>1500</v>
      </c>
      <c r="J1826" s="257">
        <v>6700</v>
      </c>
      <c r="K1826" s="38">
        <f>ROUND(I1826*J1826,0)</f>
        <v>10050000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57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1"/>
      <c r="AC1826" s="557" t="str">
        <f>IF(VLOOKUP(F1826,NXT!$C$35:$C$411,1,0)=F1826,"","x")</f>
        <v/>
      </c>
      <c r="AD1826" s="557"/>
    </row>
    <row r="1827" spans="1:30" s="211" customFormat="1" ht="15.75" customHeight="1">
      <c r="A1827" s="204" t="str">
        <f>IF(B1827&lt;&gt;"",IF(AND(B1827&gt;=_TM1,B1827&lt;=_TM2,OR(TH!L1873="1111",TH!M1873="1111")),TH!D1873,""),"")</f>
        <v/>
      </c>
      <c r="B1827" s="36">
        <f t="shared" si="87"/>
        <v>12</v>
      </c>
      <c r="C1827" s="184">
        <f t="shared" si="86"/>
        <v>42713</v>
      </c>
      <c r="D1827" s="184" t="s">
        <v>1170</v>
      </c>
      <c r="E1827" s="191">
        <v>42713</v>
      </c>
      <c r="F1827" s="40" t="s">
        <v>1285</v>
      </c>
      <c r="G1827" s="456" t="s">
        <v>1520</v>
      </c>
      <c r="H1827" s="7" t="s">
        <v>811</v>
      </c>
      <c r="I1827" s="257"/>
      <c r="J1827" s="257"/>
      <c r="K1827" s="38">
        <v>2167700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57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1"/>
      <c r="AC1827" s="557"/>
    </row>
    <row r="1828" spans="1:30" s="211" customFormat="1" ht="15.75" customHeight="1">
      <c r="A1828" s="204" t="str">
        <f>IF(B1828&lt;&gt;"",IF(AND(B1828&gt;=_TM1,B1828&lt;=_TM2,OR(TH!L1874="1111",TH!M1874="1111")),TH!D1874,""),"")</f>
        <v/>
      </c>
      <c r="B1828" s="36">
        <f t="shared" si="87"/>
        <v>12</v>
      </c>
      <c r="C1828" s="184">
        <f t="shared" si="86"/>
        <v>42713</v>
      </c>
      <c r="D1828" s="184" t="s">
        <v>1171</v>
      </c>
      <c r="E1828" s="191">
        <v>42713</v>
      </c>
      <c r="F1828" s="40" t="s">
        <v>1386</v>
      </c>
      <c r="G1828" s="456" t="s">
        <v>1521</v>
      </c>
      <c r="H1828" s="7" t="s">
        <v>429</v>
      </c>
      <c r="I1828" s="257">
        <v>535</v>
      </c>
      <c r="J1828" s="257">
        <v>8800</v>
      </c>
      <c r="K1828" s="38">
        <f>ROUND(I1828*J1828,0)</f>
        <v>4708000</v>
      </c>
      <c r="L1828" s="194" t="s">
        <v>259</v>
      </c>
      <c r="M1828" s="194" t="s">
        <v>174</v>
      </c>
      <c r="N1828" s="52" t="str">
        <f>IF(AND('331-CT'!$E$7=TH!H1828,OR(L1828="331",M1828="331")),"331",IF(AND(OR(L1828="131",M1828="131"),H1828='131-CT'!$E$7),"131",""))</f>
        <v/>
      </c>
      <c r="O1828" s="857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1"/>
      <c r="AC1828" s="557" t="str">
        <f>IF(VLOOKUP(F1828,NXT!$C$35:$C$411,1,0)=F1828,"","x")</f>
        <v/>
      </c>
      <c r="AD1828" s="557"/>
    </row>
    <row r="1829" spans="1:30" s="211" customFormat="1" ht="15.75" customHeight="1">
      <c r="A1829" s="204" t="str">
        <f>IF(B1829&lt;&gt;"",IF(AND(B1829&gt;=_TM1,B1829&lt;=_TM2,OR(TH!L1875="1111",TH!M1875="1111")),TH!D1875,""),"")</f>
        <v/>
      </c>
      <c r="B1829" s="36">
        <f t="shared" si="87"/>
        <v>12</v>
      </c>
      <c r="C1829" s="184">
        <f t="shared" si="86"/>
        <v>42713</v>
      </c>
      <c r="D1829" s="184" t="s">
        <v>1171</v>
      </c>
      <c r="E1829" s="191">
        <v>42713</v>
      </c>
      <c r="F1829" s="40" t="s">
        <v>985</v>
      </c>
      <c r="G1829" s="456" t="s">
        <v>1521</v>
      </c>
      <c r="H1829" s="7" t="s">
        <v>429</v>
      </c>
      <c r="I1829" s="257">
        <v>46</v>
      </c>
      <c r="J1829" s="257">
        <v>8500</v>
      </c>
      <c r="K1829" s="38">
        <f>ROUND(I1829*J1829,0)</f>
        <v>391000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57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1"/>
      <c r="AC1829" s="557" t="str">
        <f>IF(VLOOKUP(F1829,NXT!$C$35:$C$411,1,0)=F1829,"","x")</f>
        <v/>
      </c>
    </row>
    <row r="1830" spans="1:30" s="211" customFormat="1" ht="15.75" customHeight="1">
      <c r="A1830" s="204" t="str">
        <f>IF(B1830&lt;&gt;"",IF(AND(B1830&gt;=_TM1,B1830&lt;=_TM2,OR(TH!L1876="1111",TH!M1876="1111")),TH!D1876,""),"")</f>
        <v/>
      </c>
      <c r="B1830" s="36">
        <f t="shared" si="87"/>
        <v>12</v>
      </c>
      <c r="C1830" s="184">
        <f t="shared" si="86"/>
        <v>42713</v>
      </c>
      <c r="D1830" s="184" t="s">
        <v>1171</v>
      </c>
      <c r="E1830" s="191">
        <v>42713</v>
      </c>
      <c r="F1830" s="40" t="s">
        <v>1285</v>
      </c>
      <c r="G1830" s="456" t="s">
        <v>1521</v>
      </c>
      <c r="H1830" s="7" t="s">
        <v>429</v>
      </c>
      <c r="I1830" s="257"/>
      <c r="J1830" s="257"/>
      <c r="K1830" s="38">
        <v>509900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57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1"/>
      <c r="AC1830" s="557"/>
      <c r="AD1830" s="557"/>
    </row>
    <row r="1831" spans="1:30" s="211" customFormat="1" ht="15.75" customHeight="1">
      <c r="A1831" s="204" t="str">
        <f>IF(B1831&lt;&gt;"",IF(AND(B1831&gt;=_TM1,B1831&lt;=_TM2,OR(TH!L670="1111",TH!M670="1111")),TH!D670,""),"")</f>
        <v/>
      </c>
      <c r="B1831" s="36">
        <f t="shared" si="87"/>
        <v>12</v>
      </c>
      <c r="C1831" s="184">
        <f t="shared" si="86"/>
        <v>42716</v>
      </c>
      <c r="D1831" s="184" t="s">
        <v>699</v>
      </c>
      <c r="E1831" s="191">
        <v>42716</v>
      </c>
      <c r="F1831" s="192" t="s">
        <v>696</v>
      </c>
      <c r="G1831" s="192" t="s">
        <v>1318</v>
      </c>
      <c r="H1831" s="7" t="s">
        <v>421</v>
      </c>
      <c r="I1831" s="256"/>
      <c r="J1831" s="256"/>
      <c r="K1831" s="565">
        <v>19168050</v>
      </c>
      <c r="L1831" s="566" t="s">
        <v>24</v>
      </c>
      <c r="M1831" s="566" t="s">
        <v>259</v>
      </c>
      <c r="N1831" s="52" t="str">
        <f>IF(AND('331-CT'!$E$7=TH!H1831,OR(L1831="331",M1831="331")),"331",IF(AND(OR(L1831="131",M1831="131"),H1831='131-CT'!$E$7),"131",""))</f>
        <v/>
      </c>
      <c r="O1831" s="857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>x</v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2"/>
      <c r="AC1831" s="557"/>
    </row>
    <row r="1832" spans="1:30" s="211" customFormat="1" ht="15.75" customHeight="1">
      <c r="A1832" s="204" t="str">
        <f>IF(B1832&lt;&gt;"",IF(AND(B1832&gt;=_TM1,B1832&lt;=_TM2,OR(TH!L1877="1111",TH!M1877="1111")),TH!D1877,""),"")</f>
        <v/>
      </c>
      <c r="B1832" s="36">
        <f t="shared" si="87"/>
        <v>12</v>
      </c>
      <c r="C1832" s="184">
        <f t="shared" si="86"/>
        <v>42716</v>
      </c>
      <c r="D1832" s="184" t="s">
        <v>1172</v>
      </c>
      <c r="E1832" s="191">
        <v>42716</v>
      </c>
      <c r="F1832" s="189" t="s">
        <v>1465</v>
      </c>
      <c r="G1832" s="456" t="s">
        <v>1522</v>
      </c>
      <c r="H1832" s="7" t="s">
        <v>645</v>
      </c>
      <c r="I1832" s="257">
        <v>600</v>
      </c>
      <c r="J1832" s="257">
        <v>10900</v>
      </c>
      <c r="K1832" s="38">
        <f>ROUND(I1832*J1832,0)</f>
        <v>6540000</v>
      </c>
      <c r="L1832" s="194" t="s">
        <v>259</v>
      </c>
      <c r="M1832" s="194" t="s">
        <v>174</v>
      </c>
      <c r="N1832" s="52" t="str">
        <f>IF(AND('331-CT'!$E$7=TH!H1832,OR(L1832="331",M1832="331")),"331",IF(AND(OR(L1832="131",M1832="131"),H1832='131-CT'!$E$7),"131",""))</f>
        <v/>
      </c>
      <c r="O1832" s="857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1"/>
      <c r="AC1832" s="557" t="str">
        <f>IF(VLOOKUP(F1832,NXT!$C$35:$C$411,1,0)=F1832,"","x")</f>
        <v/>
      </c>
      <c r="AD1832" s="557"/>
    </row>
    <row r="1833" spans="1:30" s="211" customFormat="1" ht="15.75" customHeight="1">
      <c r="A1833" s="204" t="str">
        <f>IF(B1833&lt;&gt;"",IF(AND(B1833&gt;=_TM1,B1833&lt;=_TM2,OR(TH!L1878="1111",TH!M1878="1111")),TH!D1878,""),"")</f>
        <v/>
      </c>
      <c r="B1833" s="36">
        <f t="shared" si="87"/>
        <v>12</v>
      </c>
      <c r="C1833" s="184">
        <f t="shared" si="86"/>
        <v>42716</v>
      </c>
      <c r="D1833" s="184" t="s">
        <v>1172</v>
      </c>
      <c r="E1833" s="191">
        <v>42716</v>
      </c>
      <c r="F1833" s="943" t="s">
        <v>1285</v>
      </c>
      <c r="G1833" s="456" t="s">
        <v>1522</v>
      </c>
      <c r="H1833" s="7" t="s">
        <v>645</v>
      </c>
      <c r="I1833" s="257"/>
      <c r="J1833" s="257"/>
      <c r="K1833" s="38">
        <v>654000</v>
      </c>
      <c r="L1833" s="194" t="s">
        <v>259</v>
      </c>
      <c r="M1833" s="194" t="s">
        <v>370</v>
      </c>
      <c r="N1833" s="52" t="str">
        <f>IF(AND('331-CT'!$E$7=TH!H1833,OR(L1833="331",M1833="331")),"331",IF(AND(OR(L1833="131",M1833="131"),H1833='131-CT'!$E$7),"131",""))</f>
        <v/>
      </c>
      <c r="O1833" s="857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1"/>
      <c r="AC1833" s="557"/>
      <c r="AD1833" s="557"/>
    </row>
    <row r="1834" spans="1:30" s="211" customFormat="1" ht="15.75" customHeight="1">
      <c r="A1834" s="204" t="str">
        <f>IF(B1834&lt;&gt;"",IF(AND(B1834&gt;=_TM1,B1834&lt;=_TM2,OR(TH!L1879="1111",TH!M1879="1111")),TH!D1879,""),"")</f>
        <v/>
      </c>
      <c r="B1834" s="36">
        <f t="shared" si="87"/>
        <v>12</v>
      </c>
      <c r="C1834" s="184">
        <f t="shared" si="86"/>
        <v>42716</v>
      </c>
      <c r="D1834" s="184" t="s">
        <v>1173</v>
      </c>
      <c r="E1834" s="191">
        <v>42716</v>
      </c>
      <c r="F1834" s="40" t="s">
        <v>1505</v>
      </c>
      <c r="G1834" s="456" t="s">
        <v>1523</v>
      </c>
      <c r="H1834" s="193" t="s">
        <v>1503</v>
      </c>
      <c r="I1834" s="257">
        <v>800</v>
      </c>
      <c r="J1834" s="257">
        <v>7500</v>
      </c>
      <c r="K1834" s="38">
        <f>ROUND(I1834*J1834,0)</f>
        <v>6000000</v>
      </c>
      <c r="L1834" s="194" t="s">
        <v>259</v>
      </c>
      <c r="M1834" s="194" t="s">
        <v>174</v>
      </c>
      <c r="N1834" s="52" t="str">
        <f>IF(AND('331-CT'!$E$7=TH!H1834,OR(L1834="331",M1834="331")),"331",IF(AND(OR(L1834="131",M1834="131"),H1834='131-CT'!$E$7),"131",""))</f>
        <v/>
      </c>
      <c r="O1834" s="857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1"/>
      <c r="AC1834" s="557" t="str">
        <f>IF(VLOOKUP(F1834,NXT!$C$35:$C$411,1,0)=F1834,"","x")</f>
        <v/>
      </c>
      <c r="AD1834" s="557"/>
    </row>
    <row r="1835" spans="1:30" s="211" customFormat="1" ht="15.75" customHeight="1">
      <c r="A1835" s="204" t="str">
        <f>IF(B1835&lt;&gt;"",IF(AND(B1835&gt;=_TM1,B1835&lt;=_TM2,OR(TH!L1880="1111",TH!M1880="1111")),TH!D1880,""),"")</f>
        <v/>
      </c>
      <c r="B1835" s="36">
        <f t="shared" si="87"/>
        <v>12</v>
      </c>
      <c r="C1835" s="184">
        <f t="shared" si="86"/>
        <v>42716</v>
      </c>
      <c r="D1835" s="184" t="s">
        <v>1173</v>
      </c>
      <c r="E1835" s="191">
        <v>42716</v>
      </c>
      <c r="F1835" s="40" t="s">
        <v>1285</v>
      </c>
      <c r="G1835" s="456" t="s">
        <v>1523</v>
      </c>
      <c r="H1835" s="193" t="s">
        <v>1503</v>
      </c>
      <c r="I1835" s="257"/>
      <c r="J1835" s="257"/>
      <c r="K1835" s="38">
        <v>600000</v>
      </c>
      <c r="L1835" s="194" t="s">
        <v>259</v>
      </c>
      <c r="M1835" s="194" t="s">
        <v>370</v>
      </c>
      <c r="N1835" s="52" t="str">
        <f>IF(AND('331-CT'!$E$7=TH!H1835,OR(L1835="331",M1835="331")),"331",IF(AND(OR(L1835="131",M1835="131"),H1835='131-CT'!$E$7),"131",""))</f>
        <v/>
      </c>
      <c r="O1835" s="857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1"/>
      <c r="AC1835" s="557"/>
    </row>
    <row r="1836" spans="1:30" s="211" customFormat="1" ht="15.75" customHeight="1">
      <c r="A1836" s="204" t="str">
        <f>IF(B1836&lt;&gt;"",IF(AND(B1836&gt;=_TM1,B1836&lt;=_TM2,OR(TH!L1881="1111",TH!M1881="1111")),TH!D1881,""),"")</f>
        <v/>
      </c>
      <c r="B1836" s="36">
        <f t="shared" si="87"/>
        <v>12</v>
      </c>
      <c r="C1836" s="184">
        <f t="shared" si="86"/>
        <v>42716</v>
      </c>
      <c r="D1836" s="184"/>
      <c r="E1836" s="191">
        <v>42716</v>
      </c>
      <c r="F1836" s="40" t="s">
        <v>1504</v>
      </c>
      <c r="G1836" s="456" t="s">
        <v>1523</v>
      </c>
      <c r="H1836" s="193" t="s">
        <v>1503</v>
      </c>
      <c r="I1836" s="257"/>
      <c r="J1836" s="257"/>
      <c r="K1836" s="38">
        <v>6600000</v>
      </c>
      <c r="L1836" s="194" t="s">
        <v>47</v>
      </c>
      <c r="M1836" s="194" t="s">
        <v>259</v>
      </c>
      <c r="N1836" s="52" t="str">
        <f>IF(AND('331-CT'!$E$7=TH!H1836,OR(L1836="331",M1836="331")),"331",IF(AND(OR(L1836="131",M1836="131"),H1836='131-CT'!$E$7),"131",""))</f>
        <v/>
      </c>
      <c r="O1836" s="857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1"/>
      <c r="AC1836" s="557"/>
      <c r="AD1836" s="557"/>
    </row>
    <row r="1837" spans="1:30" s="211" customFormat="1" ht="15.75" customHeight="1">
      <c r="A1837" s="204">
        <f>IF(B1837&lt;&gt;"",IF(AND(B1837&gt;=_TM1,B1837&lt;=_TM2,OR(TH!L1882="1111",TH!M1882="1111")),TH!D1882,""),"")</f>
        <v>0</v>
      </c>
      <c r="B1837" s="36">
        <f t="shared" si="87"/>
        <v>12</v>
      </c>
      <c r="C1837" s="184">
        <f t="shared" si="86"/>
        <v>42716</v>
      </c>
      <c r="D1837" s="184" t="s">
        <v>1174</v>
      </c>
      <c r="E1837" s="191">
        <v>42716</v>
      </c>
      <c r="F1837" s="40" t="s">
        <v>1505</v>
      </c>
      <c r="G1837" s="456" t="s">
        <v>1524</v>
      </c>
      <c r="H1837" s="193" t="s">
        <v>1503</v>
      </c>
      <c r="I1837" s="257">
        <v>2400</v>
      </c>
      <c r="J1837" s="257">
        <v>7500</v>
      </c>
      <c r="K1837" s="38">
        <f>ROUND(I1837*J1837,0)</f>
        <v>18000000</v>
      </c>
      <c r="L1837" s="194" t="s">
        <v>259</v>
      </c>
      <c r="M1837" s="194" t="s">
        <v>174</v>
      </c>
      <c r="N1837" s="52" t="str">
        <f>IF(AND('331-CT'!$E$7=TH!H1837,OR(L1837="331",M1837="331")),"331",IF(AND(OR(L1837="131",M1837="131"),H1837='131-CT'!$E$7),"131",""))</f>
        <v/>
      </c>
      <c r="O1837" s="857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1"/>
      <c r="AC1837" s="557" t="str">
        <f>IF(VLOOKUP(F1837,NXT!$C$35:$C$411,1,0)=F1837,"","x")</f>
        <v/>
      </c>
      <c r="AD1837" s="557"/>
    </row>
    <row r="1838" spans="1:30" s="211" customFormat="1" ht="15.75" customHeight="1">
      <c r="A1838" s="204" t="str">
        <f>IF(B1838&lt;&gt;"",IF(AND(B1838&gt;=_TM1,B1838&lt;=_TM2,OR(TH!L1883="1111",TH!M1883="1111")),TH!D1883,""),"")</f>
        <v>GBN</v>
      </c>
      <c r="B1838" s="36">
        <f t="shared" si="87"/>
        <v>12</v>
      </c>
      <c r="C1838" s="184">
        <f t="shared" si="86"/>
        <v>42716</v>
      </c>
      <c r="D1838" s="184" t="s">
        <v>1174</v>
      </c>
      <c r="E1838" s="191">
        <v>42716</v>
      </c>
      <c r="F1838" s="40" t="s">
        <v>1285</v>
      </c>
      <c r="G1838" s="456" t="s">
        <v>1524</v>
      </c>
      <c r="H1838" s="193" t="s">
        <v>1503</v>
      </c>
      <c r="I1838" s="257"/>
      <c r="J1838" s="257"/>
      <c r="K1838" s="38">
        <v>1800000</v>
      </c>
      <c r="L1838" s="194" t="s">
        <v>259</v>
      </c>
      <c r="M1838" s="194" t="s">
        <v>370</v>
      </c>
      <c r="N1838" s="52" t="str">
        <f>IF(AND('331-CT'!$E$7=TH!H1838,OR(L1838="331",M1838="331")),"331",IF(AND(OR(L1838="131",M1838="131"),H1838='131-CT'!$E$7),"131",""))</f>
        <v/>
      </c>
      <c r="O1838" s="857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1"/>
      <c r="AC1838" s="557"/>
    </row>
    <row r="1839" spans="1:30" s="211" customFormat="1" ht="15.75" customHeight="1">
      <c r="A1839" s="204" t="str">
        <f>IF(B1839&lt;&gt;"",IF(AND(B1839&gt;=_TM1,B1839&lt;=_TM2,OR(TH!L1884="1111",TH!M1884="1111")),TH!D1884,""),"")</f>
        <v/>
      </c>
      <c r="B1839" s="36">
        <f t="shared" si="87"/>
        <v>12</v>
      </c>
      <c r="C1839" s="184">
        <f t="shared" si="86"/>
        <v>42716</v>
      </c>
      <c r="D1839" s="184"/>
      <c r="E1839" s="191">
        <v>42716</v>
      </c>
      <c r="F1839" s="40" t="s">
        <v>1504</v>
      </c>
      <c r="G1839" s="456" t="s">
        <v>1524</v>
      </c>
      <c r="H1839" s="193" t="s">
        <v>1503</v>
      </c>
      <c r="I1839" s="257"/>
      <c r="J1839" s="257"/>
      <c r="K1839" s="38">
        <v>19800000</v>
      </c>
      <c r="L1839" s="194" t="s">
        <v>47</v>
      </c>
      <c r="M1839" s="194" t="s">
        <v>259</v>
      </c>
      <c r="N1839" s="52" t="str">
        <f>IF(AND('331-CT'!$E$7=TH!H1839,OR(L1839="331",M1839="331")),"331",IF(AND(OR(L1839="131",M1839="131"),H1839='131-CT'!$E$7),"131",""))</f>
        <v/>
      </c>
      <c r="O1839" s="857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1"/>
      <c r="AC1839" s="557"/>
      <c r="AD1839" s="557"/>
    </row>
    <row r="1840" spans="1:30" s="211" customFormat="1" ht="15.75" customHeight="1">
      <c r="A1840" s="204" t="str">
        <f>IF(B1840&lt;&gt;"",IF(AND(B1840&gt;=_TM1,B1840&lt;=_TM2,OR(TH!L671="1111",TH!M671="1111")),TH!D671,""),"")</f>
        <v/>
      </c>
      <c r="B1840" s="36">
        <f t="shared" si="87"/>
        <v>12</v>
      </c>
      <c r="C1840" s="184">
        <f t="shared" si="86"/>
        <v>42717</v>
      </c>
      <c r="D1840" s="184" t="s">
        <v>699</v>
      </c>
      <c r="E1840" s="191">
        <v>42717</v>
      </c>
      <c r="F1840" s="189" t="s">
        <v>701</v>
      </c>
      <c r="G1840" s="192" t="s">
        <v>1318</v>
      </c>
      <c r="H1840" s="7"/>
      <c r="I1840" s="256"/>
      <c r="J1840" s="256"/>
      <c r="K1840" s="565">
        <v>5000000</v>
      </c>
      <c r="L1840" s="566" t="s">
        <v>8</v>
      </c>
      <c r="M1840" s="566" t="s">
        <v>24</v>
      </c>
      <c r="N1840" s="52" t="str">
        <f>IF(AND('331-CT'!$E$7=TH!H1840,OR(L1840="331",M1840="331")),"331",IF(AND(OR(L1840="131",M1840="131"),H1840='131-CT'!$E$7),"131",""))</f>
        <v/>
      </c>
      <c r="O1840" s="857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2"/>
      <c r="AC1840" s="557"/>
      <c r="AD1840" s="557"/>
    </row>
    <row r="1841" spans="1:30" s="211" customFormat="1" ht="15.75" customHeight="1">
      <c r="A1841" s="204" t="str">
        <f>IF(B1841&lt;&gt;"",IF(AND(B1841&gt;=_TM1,B1841&lt;=_TM2,OR(TH!L672="1111",TH!M672="1111")),TH!D672,""),"")</f>
        <v/>
      </c>
      <c r="B1841" s="36">
        <f t="shared" si="87"/>
        <v>12</v>
      </c>
      <c r="C1841" s="184">
        <f t="shared" si="86"/>
        <v>42717</v>
      </c>
      <c r="D1841" s="184" t="s">
        <v>699</v>
      </c>
      <c r="E1841" s="191">
        <v>42717</v>
      </c>
      <c r="F1841" s="192" t="s">
        <v>702</v>
      </c>
      <c r="G1841" s="192" t="s">
        <v>1318</v>
      </c>
      <c r="H1841" s="193"/>
      <c r="I1841" s="256"/>
      <c r="J1841" s="256"/>
      <c r="K1841" s="565">
        <v>15000</v>
      </c>
      <c r="L1841" s="566" t="s">
        <v>83</v>
      </c>
      <c r="M1841" s="566" t="s">
        <v>24</v>
      </c>
      <c r="N1841" s="52" t="str">
        <f>IF(AND('331-CT'!$E$7=TH!H1841,OR(L1841="331",M1841="331")),"331",IF(AND(OR(L1841="131",M1841="131"),H1841='131-CT'!$E$7),"131",""))</f>
        <v/>
      </c>
      <c r="O1841" s="857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2">
        <v>4</v>
      </c>
      <c r="AC1841" s="557"/>
    </row>
    <row r="1842" spans="1:30" s="211" customFormat="1" ht="15.75" customHeight="1">
      <c r="A1842" s="204" t="str">
        <f>IF(B1842&lt;&gt;"",IF(AND(B1842&gt;=_TM1,B1842&lt;=_TM2,OR(TH!L673="1111",TH!M673="1111")),TH!D673,""),"")</f>
        <v/>
      </c>
      <c r="B1842" s="36">
        <f t="shared" si="87"/>
        <v>12</v>
      </c>
      <c r="C1842" s="184">
        <f t="shared" si="86"/>
        <v>42717</v>
      </c>
      <c r="D1842" s="184" t="s">
        <v>699</v>
      </c>
      <c r="E1842" s="191">
        <v>42717</v>
      </c>
      <c r="F1842" s="192" t="s">
        <v>793</v>
      </c>
      <c r="G1842" s="192" t="s">
        <v>1318</v>
      </c>
      <c r="H1842" s="7"/>
      <c r="I1842" s="256"/>
      <c r="J1842" s="256"/>
      <c r="K1842" s="565">
        <v>1500</v>
      </c>
      <c r="L1842" s="194" t="s">
        <v>9</v>
      </c>
      <c r="M1842" s="566" t="s">
        <v>24</v>
      </c>
      <c r="N1842" s="52" t="str">
        <f>IF(AND('331-CT'!$E$7=TH!H1842,OR(L1842="331",M1842="331")),"331",IF(AND(OR(L1842="131",M1842="131"),H1842='131-CT'!$E$7),"131",""))</f>
        <v/>
      </c>
      <c r="O1842" s="857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2">
        <v>4</v>
      </c>
      <c r="AC1842" s="557"/>
      <c r="AD1842" s="557"/>
    </row>
    <row r="1843" spans="1:30" s="211" customFormat="1" ht="15.75" customHeight="1">
      <c r="A1843" s="204" t="str">
        <f>IF(B1843&lt;&gt;"",IF(AND(B1843&gt;=_TM1,B1843&lt;=_TM2,OR(TH!L674="1111",TH!M674="1111")),TH!D674,""),"")</f>
        <v/>
      </c>
      <c r="B1843" s="36">
        <f t="shared" si="87"/>
        <v>12</v>
      </c>
      <c r="C1843" s="184">
        <f t="shared" si="86"/>
        <v>42717</v>
      </c>
      <c r="D1843" s="184" t="s">
        <v>699</v>
      </c>
      <c r="E1843" s="191">
        <v>42717</v>
      </c>
      <c r="F1843" s="192" t="s">
        <v>696</v>
      </c>
      <c r="G1843" s="192" t="s">
        <v>1318</v>
      </c>
      <c r="H1843" s="193" t="s">
        <v>1359</v>
      </c>
      <c r="I1843" s="256"/>
      <c r="J1843" s="256"/>
      <c r="K1843" s="565">
        <v>11039105</v>
      </c>
      <c r="L1843" s="566" t="s">
        <v>24</v>
      </c>
      <c r="M1843" s="566" t="s">
        <v>259</v>
      </c>
      <c r="N1843" s="52" t="str">
        <f>IF(AND('331-CT'!$E$7=TH!H1843,OR(L1843="331",M1843="331")),"331",IF(AND(OR(L1843="131",M1843="131"),H1843='131-CT'!$E$7),"131",""))</f>
        <v/>
      </c>
      <c r="O1843" s="857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>x</v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2"/>
      <c r="AC1843" s="557"/>
      <c r="AD1843" s="557"/>
    </row>
    <row r="1844" spans="1:30" s="211" customFormat="1" ht="15.75" customHeight="1">
      <c r="A1844" s="204" t="str">
        <f>IF(B1844&lt;&gt;"",IF(AND(B1844&gt;=_TM1,B1844&lt;=_TM2,OR(TH!L1885="1111",TH!M1885="1111")),TH!D1885,""),"")</f>
        <v/>
      </c>
      <c r="B1844" s="36">
        <f t="shared" si="87"/>
        <v>12</v>
      </c>
      <c r="C1844" s="184">
        <f t="shared" si="86"/>
        <v>42717</v>
      </c>
      <c r="D1844" s="184" t="s">
        <v>1175</v>
      </c>
      <c r="E1844" s="191">
        <v>42717</v>
      </c>
      <c r="F1844" s="40" t="s">
        <v>1505</v>
      </c>
      <c r="G1844" s="456" t="s">
        <v>1525</v>
      </c>
      <c r="H1844" s="193" t="s">
        <v>1503</v>
      </c>
      <c r="I1844" s="257">
        <v>2400</v>
      </c>
      <c r="J1844" s="257">
        <v>7500</v>
      </c>
      <c r="K1844" s="38">
        <f>ROUND(I1844*J1844,0)</f>
        <v>18000000</v>
      </c>
      <c r="L1844" s="194" t="s">
        <v>259</v>
      </c>
      <c r="M1844" s="194" t="s">
        <v>174</v>
      </c>
      <c r="N1844" s="52" t="str">
        <f>IF(AND('331-CT'!$E$7=TH!H1844,OR(L1844="331",M1844="331")),"331",IF(AND(OR(L1844="131",M1844="131"),H1844='131-CT'!$E$7),"131",""))</f>
        <v/>
      </c>
      <c r="O1844" s="857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1"/>
      <c r="AC1844" s="557" t="str">
        <f>IF(VLOOKUP(F1844,NXT!$C$35:$C$411,1,0)=F1844,"","x")</f>
        <v/>
      </c>
    </row>
    <row r="1845" spans="1:30" s="211" customFormat="1" ht="15.75" customHeight="1">
      <c r="A1845" s="204">
        <f>IF(B1845&lt;&gt;"",IF(AND(B1845&gt;=_TM1,B1845&lt;=_TM2,OR(TH!L1886="1111",TH!M1886="1111")),TH!D1886,""),"")</f>
        <v>0</v>
      </c>
      <c r="B1845" s="36">
        <f t="shared" si="87"/>
        <v>12</v>
      </c>
      <c r="C1845" s="184">
        <f t="shared" si="86"/>
        <v>42717</v>
      </c>
      <c r="D1845" s="184" t="s">
        <v>1175</v>
      </c>
      <c r="E1845" s="191">
        <v>42717</v>
      </c>
      <c r="F1845" s="40" t="s">
        <v>1285</v>
      </c>
      <c r="G1845" s="456" t="s">
        <v>1525</v>
      </c>
      <c r="H1845" s="193" t="s">
        <v>1503</v>
      </c>
      <c r="I1845" s="257"/>
      <c r="J1845" s="257"/>
      <c r="K1845" s="38">
        <v>1800000</v>
      </c>
      <c r="L1845" s="194" t="s">
        <v>259</v>
      </c>
      <c r="M1845" s="194" t="s">
        <v>370</v>
      </c>
      <c r="N1845" s="52" t="str">
        <f>IF(AND('331-CT'!$E$7=TH!H1845,OR(L1845="331",M1845="331")),"331",IF(AND(OR(L1845="131",M1845="131"),H1845='131-CT'!$E$7),"131",""))</f>
        <v/>
      </c>
      <c r="O1845" s="857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1"/>
      <c r="AC1845" s="557"/>
      <c r="AD1845" s="557"/>
    </row>
    <row r="1846" spans="1:30" s="211" customFormat="1" ht="15.75" customHeight="1">
      <c r="A1846" s="204" t="str">
        <f>IF(B1846&lt;&gt;"",IF(AND(B1846&gt;=_TM1,B1846&lt;=_TM2,OR(TH!L1887="1111",TH!M1887="1111")),TH!D1887,""),"")</f>
        <v/>
      </c>
      <c r="B1846" s="36">
        <f t="shared" si="87"/>
        <v>12</v>
      </c>
      <c r="C1846" s="184">
        <f t="shared" si="86"/>
        <v>42717</v>
      </c>
      <c r="D1846" s="184"/>
      <c r="E1846" s="191">
        <v>42717</v>
      </c>
      <c r="F1846" s="40" t="s">
        <v>1504</v>
      </c>
      <c r="G1846" s="456" t="s">
        <v>1525</v>
      </c>
      <c r="H1846" s="193" t="s">
        <v>1503</v>
      </c>
      <c r="I1846" s="257"/>
      <c r="J1846" s="257"/>
      <c r="K1846" s="38">
        <v>19800000</v>
      </c>
      <c r="L1846" s="194" t="s">
        <v>47</v>
      </c>
      <c r="M1846" s="194" t="s">
        <v>259</v>
      </c>
      <c r="N1846" s="52" t="str">
        <f>IF(AND('331-CT'!$E$7=TH!H1846,OR(L1846="331",M1846="331")),"331",IF(AND(OR(L1846="131",M1846="131"),H1846='131-CT'!$E$7),"131",""))</f>
        <v/>
      </c>
      <c r="O1846" s="857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1"/>
      <c r="AC1846" s="557"/>
      <c r="AD1846" s="557"/>
    </row>
    <row r="1847" spans="1:30" s="211" customFormat="1" ht="15.75" customHeight="1">
      <c r="A1847" s="204" t="str">
        <f>IF(B1847&lt;&gt;"",IF(AND(B1847&gt;=_TM1,B1847&lt;=_TM2,OR(TH!L675="1111",TH!M675="1111")),TH!D675,""),"")</f>
        <v/>
      </c>
      <c r="B1847" s="36">
        <f t="shared" si="87"/>
        <v>12</v>
      </c>
      <c r="C1847" s="184">
        <f t="shared" si="86"/>
        <v>42718</v>
      </c>
      <c r="D1847" s="184" t="s">
        <v>699</v>
      </c>
      <c r="E1847" s="191">
        <v>42718</v>
      </c>
      <c r="F1847" s="189" t="s">
        <v>785</v>
      </c>
      <c r="G1847" s="192" t="s">
        <v>1318</v>
      </c>
      <c r="H1847" s="193" t="s">
        <v>1313</v>
      </c>
      <c r="I1847" s="256"/>
      <c r="J1847" s="256"/>
      <c r="K1847" s="565">
        <v>4500000</v>
      </c>
      <c r="L1847" s="566" t="s">
        <v>24</v>
      </c>
      <c r="M1847" s="566" t="s">
        <v>47</v>
      </c>
      <c r="N1847" s="52" t="str">
        <f>IF(AND('331-CT'!$E$7=TH!H1847,OR(L1847="331",M1847="331")),"331",IF(AND(OR(L1847="131",M1847="131"),H1847='131-CT'!$E$7),"131",""))</f>
        <v/>
      </c>
      <c r="O1847" s="857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2"/>
      <c r="AC1847" s="557"/>
    </row>
    <row r="1848" spans="1:30" s="211" customFormat="1" ht="15.75" customHeight="1">
      <c r="A1848" s="204" t="str">
        <f>IF(B1848&lt;&gt;"",IF(AND(B1848&gt;=_TM1,B1848&lt;=_TM2,OR(TH!L676="1111",TH!M676="1111")),TH!D676,""),"")</f>
        <v/>
      </c>
      <c r="B1848" s="36">
        <f t="shared" si="87"/>
        <v>12</v>
      </c>
      <c r="C1848" s="184">
        <f t="shared" si="86"/>
        <v>42718</v>
      </c>
      <c r="D1848" s="184" t="s">
        <v>699</v>
      </c>
      <c r="E1848" s="191">
        <v>42718</v>
      </c>
      <c r="F1848" s="189" t="s">
        <v>701</v>
      </c>
      <c r="G1848" s="192" t="s">
        <v>1318</v>
      </c>
      <c r="H1848" s="7"/>
      <c r="I1848" s="256"/>
      <c r="J1848" s="256"/>
      <c r="K1848" s="565">
        <v>30000000</v>
      </c>
      <c r="L1848" s="566" t="s">
        <v>8</v>
      </c>
      <c r="M1848" s="566" t="s">
        <v>24</v>
      </c>
      <c r="N1848" s="52" t="str">
        <f>IF(AND('331-CT'!$E$7=TH!H1848,OR(L1848="331",M1848="331")),"331",IF(AND(OR(L1848="131",M1848="131"),H1848='131-CT'!$E$7),"131",""))</f>
        <v/>
      </c>
      <c r="O1848" s="857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2"/>
      <c r="AC1848" s="557"/>
      <c r="AD1848" s="557"/>
    </row>
    <row r="1849" spans="1:30" s="211" customFormat="1" ht="15.75" customHeight="1">
      <c r="A1849" s="204" t="str">
        <f>IF(B1849&lt;&gt;"",IF(AND(B1849&gt;=_TM1,B1849&lt;=_TM2,OR(TH!L677="1111",TH!M677="1111")),TH!D677,""),"")</f>
        <v/>
      </c>
      <c r="B1849" s="36">
        <f t="shared" si="87"/>
        <v>12</v>
      </c>
      <c r="C1849" s="184">
        <f t="shared" si="86"/>
        <v>42718</v>
      </c>
      <c r="D1849" s="184" t="s">
        <v>699</v>
      </c>
      <c r="E1849" s="191">
        <v>42718</v>
      </c>
      <c r="F1849" s="192" t="s">
        <v>702</v>
      </c>
      <c r="G1849" s="192" t="s">
        <v>1318</v>
      </c>
      <c r="H1849" s="193"/>
      <c r="I1849" s="256"/>
      <c r="J1849" s="256"/>
      <c r="K1849" s="565">
        <v>15000</v>
      </c>
      <c r="L1849" s="566" t="s">
        <v>83</v>
      </c>
      <c r="M1849" s="566" t="s">
        <v>24</v>
      </c>
      <c r="N1849" s="52" t="str">
        <f>IF(AND('331-CT'!$E$7=TH!H1849,OR(L1849="331",M1849="331")),"331",IF(AND(OR(L1849="131",M1849="131"),H1849='131-CT'!$E$7),"131",""))</f>
        <v/>
      </c>
      <c r="O1849" s="857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2">
        <v>4</v>
      </c>
      <c r="AC1849" s="557"/>
    </row>
    <row r="1850" spans="1:30" s="211" customFormat="1" ht="15.75" customHeight="1">
      <c r="A1850" s="204" t="str">
        <f>IF(B1850&lt;&gt;"",IF(AND(B1850&gt;=_TM1,B1850&lt;=_TM2,OR(TH!L678="1111",TH!M678="1111")),TH!D678,""),"")</f>
        <v/>
      </c>
      <c r="B1850" s="36">
        <f t="shared" si="87"/>
        <v>12</v>
      </c>
      <c r="C1850" s="184">
        <f t="shared" si="86"/>
        <v>42718</v>
      </c>
      <c r="D1850" s="184" t="s">
        <v>699</v>
      </c>
      <c r="E1850" s="191">
        <v>42718</v>
      </c>
      <c r="F1850" s="192" t="s">
        <v>793</v>
      </c>
      <c r="G1850" s="192" t="s">
        <v>1318</v>
      </c>
      <c r="H1850" s="7"/>
      <c r="I1850" s="256"/>
      <c r="J1850" s="256"/>
      <c r="K1850" s="565">
        <v>1500</v>
      </c>
      <c r="L1850" s="194" t="s">
        <v>9</v>
      </c>
      <c r="M1850" s="566" t="s">
        <v>24</v>
      </c>
      <c r="N1850" s="52" t="str">
        <f>IF(AND('331-CT'!$E$7=TH!H1850,OR(L1850="331",M1850="331")),"331",IF(AND(OR(L1850="131",M1850="131"),H1850='131-CT'!$E$7),"131",""))</f>
        <v/>
      </c>
      <c r="O1850" s="857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2">
        <v>4</v>
      </c>
      <c r="AC1850" s="557"/>
      <c r="AD1850" s="557"/>
    </row>
    <row r="1851" spans="1:30" s="211" customFormat="1" ht="15.75" customHeight="1">
      <c r="A1851" s="204" t="str">
        <f>IF(B1851&lt;&gt;"",IF(AND(B1851&gt;=_TM1,B1851&lt;=_TM2,OR(TH!L1888="1111",TH!M1888="1111")),TH!D1888,""),"")</f>
        <v/>
      </c>
      <c r="B1851" s="36">
        <f t="shared" si="87"/>
        <v>12</v>
      </c>
      <c r="C1851" s="184">
        <f t="shared" si="86"/>
        <v>42718</v>
      </c>
      <c r="D1851" s="184" t="s">
        <v>1176</v>
      </c>
      <c r="E1851" s="191">
        <v>42718</v>
      </c>
      <c r="F1851" s="40" t="s">
        <v>1505</v>
      </c>
      <c r="G1851" s="456" t="s">
        <v>1526</v>
      </c>
      <c r="H1851" s="193" t="s">
        <v>1503</v>
      </c>
      <c r="I1851" s="257">
        <v>2400</v>
      </c>
      <c r="J1851" s="257">
        <v>7500</v>
      </c>
      <c r="K1851" s="38">
        <f>ROUND(I1851*J1851,0)</f>
        <v>18000000</v>
      </c>
      <c r="L1851" s="194" t="s">
        <v>259</v>
      </c>
      <c r="M1851" s="194" t="s">
        <v>174</v>
      </c>
      <c r="N1851" s="52" t="str">
        <f>IF(AND('331-CT'!$E$7=TH!H1851,OR(L1851="331",M1851="331")),"331",IF(AND(OR(L1851="131",M1851="131"),H1851='131-CT'!$E$7),"131",""))</f>
        <v/>
      </c>
      <c r="O1851" s="857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1"/>
      <c r="AC1851" s="557" t="str">
        <f>IF(VLOOKUP(F1851,NXT!$C$35:$C$411,1,0)=F1851,"","x")</f>
        <v/>
      </c>
    </row>
    <row r="1852" spans="1:30" s="211" customFormat="1" ht="15.75" customHeight="1">
      <c r="A1852" s="204" t="str">
        <f>IF(B1852&lt;&gt;"",IF(AND(B1852&gt;=_TM1,B1852&lt;=_TM2,OR(TH!L1889="1111",TH!M1889="1111")),TH!D1889,""),"")</f>
        <v/>
      </c>
      <c r="B1852" s="36">
        <f t="shared" si="87"/>
        <v>12</v>
      </c>
      <c r="C1852" s="184">
        <f t="shared" si="86"/>
        <v>42718</v>
      </c>
      <c r="D1852" s="184" t="s">
        <v>1176</v>
      </c>
      <c r="E1852" s="191">
        <v>42718</v>
      </c>
      <c r="F1852" s="40" t="s">
        <v>1285</v>
      </c>
      <c r="G1852" s="456" t="s">
        <v>1526</v>
      </c>
      <c r="H1852" s="193" t="s">
        <v>1503</v>
      </c>
      <c r="I1852" s="257"/>
      <c r="J1852" s="257"/>
      <c r="K1852" s="38">
        <v>1800000</v>
      </c>
      <c r="L1852" s="194" t="s">
        <v>259</v>
      </c>
      <c r="M1852" s="194" t="s">
        <v>370</v>
      </c>
      <c r="N1852" s="52" t="str">
        <f>IF(AND('331-CT'!$E$7=TH!H1852,OR(L1852="331",M1852="331")),"331",IF(AND(OR(L1852="131",M1852="131"),H1852='131-CT'!$E$7),"131",""))</f>
        <v/>
      </c>
      <c r="O1852" s="857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1"/>
      <c r="AC1852" s="557"/>
      <c r="AD1852" s="557"/>
    </row>
    <row r="1853" spans="1:30" s="211" customFormat="1" ht="15.75" customHeight="1">
      <c r="A1853" s="204" t="str">
        <f>IF(B1853&lt;&gt;"",IF(AND(B1853&gt;=_TM1,B1853&lt;=_TM2,OR(TH!L1890="1111",TH!M1890="1111")),TH!D1890,""),"")</f>
        <v/>
      </c>
      <c r="B1853" s="36">
        <f t="shared" si="87"/>
        <v>12</v>
      </c>
      <c r="C1853" s="184">
        <f t="shared" si="86"/>
        <v>42718</v>
      </c>
      <c r="D1853" s="184"/>
      <c r="E1853" s="191">
        <v>42718</v>
      </c>
      <c r="F1853" s="40" t="s">
        <v>1504</v>
      </c>
      <c r="G1853" s="456" t="s">
        <v>1526</v>
      </c>
      <c r="H1853" s="193" t="s">
        <v>1503</v>
      </c>
      <c r="I1853" s="257"/>
      <c r="J1853" s="257"/>
      <c r="K1853" s="38">
        <v>19800000</v>
      </c>
      <c r="L1853" s="194" t="s">
        <v>47</v>
      </c>
      <c r="M1853" s="194" t="s">
        <v>259</v>
      </c>
      <c r="N1853" s="52" t="str">
        <f>IF(AND('331-CT'!$E$7=TH!H1853,OR(L1853="331",M1853="331")),"331",IF(AND(OR(L1853="131",M1853="131"),H1853='131-CT'!$E$7),"131",""))</f>
        <v/>
      </c>
      <c r="O1853" s="857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1"/>
      <c r="AC1853" s="557"/>
    </row>
    <row r="1854" spans="1:30" s="211" customFormat="1" ht="15.75" customHeight="1">
      <c r="A1854" s="204" t="str">
        <f>IF(B1854&lt;&gt;"",IF(AND(B1854&gt;=_TM1,B1854&lt;=_TM2,OR(TH!L1891="1111",TH!M1891="1111")),TH!D1891,""),"")</f>
        <v/>
      </c>
      <c r="B1854" s="36">
        <f t="shared" si="87"/>
        <v>12</v>
      </c>
      <c r="C1854" s="184">
        <f t="shared" si="86"/>
        <v>42719</v>
      </c>
      <c r="D1854" s="184" t="s">
        <v>1177</v>
      </c>
      <c r="E1854" s="191">
        <v>42719</v>
      </c>
      <c r="F1854" s="40" t="s">
        <v>1505</v>
      </c>
      <c r="G1854" s="456" t="s">
        <v>1527</v>
      </c>
      <c r="H1854" s="193" t="s">
        <v>1503</v>
      </c>
      <c r="I1854" s="257">
        <v>2400</v>
      </c>
      <c r="J1854" s="257">
        <v>7500</v>
      </c>
      <c r="K1854" s="38">
        <f>ROUND(I1854*J1854,0)</f>
        <v>18000000</v>
      </c>
      <c r="L1854" s="194" t="s">
        <v>259</v>
      </c>
      <c r="M1854" s="194" t="s">
        <v>174</v>
      </c>
      <c r="N1854" s="52" t="str">
        <f>IF(AND('331-CT'!$E$7=TH!H1854,OR(L1854="331",M1854="331")),"331",IF(AND(OR(L1854="131",M1854="131"),H1854='131-CT'!$E$7),"131",""))</f>
        <v/>
      </c>
      <c r="O1854" s="857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1"/>
      <c r="AC1854" s="557" t="str">
        <f>IF(VLOOKUP(F1854,NXT!$C$35:$C$411,1,0)=F1854,"","x")</f>
        <v/>
      </c>
      <c r="AD1854" s="557"/>
    </row>
    <row r="1855" spans="1:30" s="211" customFormat="1" ht="15.75" customHeight="1">
      <c r="A1855" s="204" t="str">
        <f>IF(B1855&lt;&gt;"",IF(AND(B1855&gt;=_TM1,B1855&lt;=_TM2,OR(TH!L1892="1111",TH!M1892="1111")),TH!D1892,""),"")</f>
        <v/>
      </c>
      <c r="B1855" s="36">
        <f t="shared" si="87"/>
        <v>12</v>
      </c>
      <c r="C1855" s="184">
        <f t="shared" si="86"/>
        <v>42719</v>
      </c>
      <c r="D1855" s="184" t="s">
        <v>1177</v>
      </c>
      <c r="E1855" s="191">
        <v>42719</v>
      </c>
      <c r="F1855" s="40" t="s">
        <v>1285</v>
      </c>
      <c r="G1855" s="456" t="s">
        <v>1527</v>
      </c>
      <c r="H1855" s="193" t="s">
        <v>1503</v>
      </c>
      <c r="I1855" s="257"/>
      <c r="J1855" s="257"/>
      <c r="K1855" s="38">
        <v>1800000</v>
      </c>
      <c r="L1855" s="194" t="s">
        <v>259</v>
      </c>
      <c r="M1855" s="194" t="s">
        <v>370</v>
      </c>
      <c r="N1855" s="52" t="str">
        <f>IF(AND('331-CT'!$E$7=TH!H1855,OR(L1855="331",M1855="331")),"331",IF(AND(OR(L1855="131",M1855="131"),H1855='131-CT'!$E$7),"131",""))</f>
        <v/>
      </c>
      <c r="O1855" s="857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1"/>
      <c r="AC1855" s="557"/>
      <c r="AD1855" s="557"/>
    </row>
    <row r="1856" spans="1:30" s="211" customFormat="1" ht="15.75" customHeight="1">
      <c r="A1856" s="204" t="str">
        <f>IF(B1856&lt;&gt;"",IF(AND(B1856&gt;=_TM1,B1856&lt;=_TM2,OR(TH!L1893="1111",TH!M1893="1111")),TH!D1893,""),"")</f>
        <v/>
      </c>
      <c r="B1856" s="36">
        <f t="shared" si="87"/>
        <v>12</v>
      </c>
      <c r="C1856" s="184">
        <f t="shared" si="86"/>
        <v>42719</v>
      </c>
      <c r="D1856" s="184"/>
      <c r="E1856" s="191">
        <v>42719</v>
      </c>
      <c r="F1856" s="40" t="s">
        <v>1504</v>
      </c>
      <c r="G1856" s="456" t="s">
        <v>1527</v>
      </c>
      <c r="H1856" s="193" t="s">
        <v>1503</v>
      </c>
      <c r="I1856" s="257"/>
      <c r="J1856" s="257"/>
      <c r="K1856" s="38">
        <v>19800000</v>
      </c>
      <c r="L1856" s="194" t="s">
        <v>47</v>
      </c>
      <c r="M1856" s="194" t="s">
        <v>259</v>
      </c>
      <c r="N1856" s="52" t="str">
        <f>IF(AND('331-CT'!$E$7=TH!H1856,OR(L1856="331",M1856="331")),"331",IF(AND(OR(L1856="131",M1856="131"),H1856='131-CT'!$E$7),"131",""))</f>
        <v/>
      </c>
      <c r="O1856" s="857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1"/>
      <c r="AC1856" s="557"/>
    </row>
    <row r="1857" spans="1:30" s="211" customFormat="1" ht="15.75" customHeight="1">
      <c r="A1857" s="204" t="str">
        <f>IF(B1857&lt;&gt;"",IF(AND(B1857&gt;=_TM1,B1857&lt;=_TM2,OR(TH!L1894="1111",TH!M1894="1111")),TH!D1894,""),"")</f>
        <v/>
      </c>
      <c r="B1857" s="36">
        <f t="shared" si="87"/>
        <v>12</v>
      </c>
      <c r="C1857" s="184">
        <f t="shared" si="86"/>
        <v>42720</v>
      </c>
      <c r="D1857" s="184" t="s">
        <v>1178</v>
      </c>
      <c r="E1857" s="191">
        <v>42720</v>
      </c>
      <c r="F1857" s="40" t="s">
        <v>1505</v>
      </c>
      <c r="G1857" s="456" t="s">
        <v>1528</v>
      </c>
      <c r="H1857" s="193" t="s">
        <v>1503</v>
      </c>
      <c r="I1857" s="257">
        <v>2400</v>
      </c>
      <c r="J1857" s="257">
        <v>7500</v>
      </c>
      <c r="K1857" s="38">
        <f>ROUND(I1857*J1857,0)</f>
        <v>18000000</v>
      </c>
      <c r="L1857" s="194" t="s">
        <v>259</v>
      </c>
      <c r="M1857" s="194" t="s">
        <v>174</v>
      </c>
      <c r="N1857" s="52" t="str">
        <f>IF(AND('331-CT'!$E$7=TH!H1857,OR(L1857="331",M1857="331")),"331",IF(AND(OR(L1857="131",M1857="131"),H1857='131-CT'!$E$7),"131",""))</f>
        <v/>
      </c>
      <c r="O1857" s="857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1"/>
      <c r="AC1857" s="557" t="str">
        <f>IF(VLOOKUP(F1857,NXT!$C$35:$C$411,1,0)=F1857,"","x")</f>
        <v/>
      </c>
      <c r="AD1857" s="557"/>
    </row>
    <row r="1858" spans="1:30" s="211" customFormat="1" ht="15.75" customHeight="1">
      <c r="A1858" s="204" t="str">
        <f>IF(B1858&lt;&gt;"",IF(AND(B1858&gt;=_TM1,B1858&lt;=_TM2,OR(TH!L1895="1111",TH!M1895="1111")),TH!D1895,""),"")</f>
        <v/>
      </c>
      <c r="B1858" s="36">
        <f t="shared" si="87"/>
        <v>12</v>
      </c>
      <c r="C1858" s="184">
        <f t="shared" si="86"/>
        <v>42720</v>
      </c>
      <c r="D1858" s="184" t="s">
        <v>1178</v>
      </c>
      <c r="E1858" s="191">
        <v>42720</v>
      </c>
      <c r="F1858" s="40" t="s">
        <v>1285</v>
      </c>
      <c r="G1858" s="456" t="s">
        <v>1528</v>
      </c>
      <c r="H1858" s="193" t="s">
        <v>1503</v>
      </c>
      <c r="I1858" s="257"/>
      <c r="J1858" s="257"/>
      <c r="K1858" s="38">
        <v>1800000</v>
      </c>
      <c r="L1858" s="194" t="s">
        <v>259</v>
      </c>
      <c r="M1858" s="194" t="s">
        <v>370</v>
      </c>
      <c r="N1858" s="52" t="str">
        <f>IF(AND('331-CT'!$E$7=TH!H1858,OR(L1858="331",M1858="331")),"331",IF(AND(OR(L1858="131",M1858="131"),H1858='131-CT'!$E$7),"131",""))</f>
        <v/>
      </c>
      <c r="O1858" s="857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1"/>
      <c r="AC1858" s="557"/>
    </row>
    <row r="1859" spans="1:30" s="211" customFormat="1" ht="15.75" customHeight="1">
      <c r="A1859" s="204">
        <f>IF(B1859&lt;&gt;"",IF(AND(B1859&gt;=_TM1,B1859&lt;=_TM2,OR(TH!L1896="1111",TH!M1896="1111")),TH!D1896,""),"")</f>
        <v>0</v>
      </c>
      <c r="B1859" s="36">
        <f t="shared" si="87"/>
        <v>12</v>
      </c>
      <c r="C1859" s="184">
        <f t="shared" si="86"/>
        <v>42720</v>
      </c>
      <c r="D1859" s="184"/>
      <c r="E1859" s="191">
        <v>42720</v>
      </c>
      <c r="F1859" s="40" t="s">
        <v>1504</v>
      </c>
      <c r="G1859" s="456" t="s">
        <v>1528</v>
      </c>
      <c r="H1859" s="193" t="s">
        <v>1503</v>
      </c>
      <c r="I1859" s="257"/>
      <c r="J1859" s="257"/>
      <c r="K1859" s="38">
        <v>19800000</v>
      </c>
      <c r="L1859" s="194" t="s">
        <v>47</v>
      </c>
      <c r="M1859" s="194" t="s">
        <v>259</v>
      </c>
      <c r="N1859" s="52" t="str">
        <f>IF(AND('331-CT'!$E$7=TH!H1859,OR(L1859="331",M1859="331")),"331",IF(AND(OR(L1859="131",M1859="131"),H1859='131-CT'!$E$7),"131",""))</f>
        <v/>
      </c>
      <c r="O1859" s="857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1"/>
      <c r="AC1859" s="557"/>
      <c r="AD1859" s="557"/>
    </row>
    <row r="1860" spans="1:30" s="211" customFormat="1" ht="15.75" customHeight="1">
      <c r="A1860" s="204" t="str">
        <f>IF(B1860&lt;&gt;"",IF(AND(B1860&gt;=_TM1,B1860&lt;=_TM2,OR(TH!L1897="1111",TH!M1897="1111")),TH!D1897,""),"")</f>
        <v/>
      </c>
      <c r="B1860" s="36">
        <f t="shared" si="87"/>
        <v>12</v>
      </c>
      <c r="C1860" s="184">
        <f t="shared" ref="C1860:C1925" si="88">E1860</f>
        <v>42721</v>
      </c>
      <c r="D1860" s="184" t="s">
        <v>1179</v>
      </c>
      <c r="E1860" s="191">
        <v>42721</v>
      </c>
      <c r="F1860" s="40" t="s">
        <v>1505</v>
      </c>
      <c r="G1860" s="456" t="s">
        <v>1529</v>
      </c>
      <c r="H1860" s="193" t="s">
        <v>1503</v>
      </c>
      <c r="I1860" s="257">
        <v>180</v>
      </c>
      <c r="J1860" s="257">
        <v>7500</v>
      </c>
      <c r="K1860" s="38">
        <f>ROUND(I1860*J1860,0)</f>
        <v>1350000</v>
      </c>
      <c r="L1860" s="194" t="s">
        <v>259</v>
      </c>
      <c r="M1860" s="194" t="s">
        <v>174</v>
      </c>
      <c r="N1860" s="52" t="str">
        <f>IF(AND('331-CT'!$E$7=TH!H1860,OR(L1860="331",M1860="331")),"331",IF(AND(OR(L1860="131",M1860="131"),H1860='131-CT'!$E$7),"131",""))</f>
        <v/>
      </c>
      <c r="O1860" s="857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1"/>
      <c r="AC1860" s="557" t="str">
        <f>IF(VLOOKUP(F1860,NXT!$C$35:$C$411,1,0)=F1860,"","x")</f>
        <v/>
      </c>
      <c r="AD1860" s="557"/>
    </row>
    <row r="1861" spans="1:30" s="211" customFormat="1" ht="15.75" customHeight="1">
      <c r="A1861" s="204" t="str">
        <f>IF(B1861&lt;&gt;"",IF(AND(B1861&gt;=_TM1,B1861&lt;=_TM2,OR(TH!L1898="1111",TH!M1898="1111")),TH!D1898,""),"")</f>
        <v/>
      </c>
      <c r="B1861" s="36">
        <f t="shared" si="87"/>
        <v>12</v>
      </c>
      <c r="C1861" s="184">
        <f t="shared" si="88"/>
        <v>42721</v>
      </c>
      <c r="D1861" s="184" t="s">
        <v>1179</v>
      </c>
      <c r="E1861" s="191">
        <v>42721</v>
      </c>
      <c r="F1861" s="40" t="s">
        <v>1285</v>
      </c>
      <c r="G1861" s="456" t="s">
        <v>1529</v>
      </c>
      <c r="H1861" s="193" t="s">
        <v>1503</v>
      </c>
      <c r="I1861" s="257"/>
      <c r="J1861" s="257"/>
      <c r="K1861" s="38">
        <v>135000</v>
      </c>
      <c r="L1861" s="194" t="s">
        <v>259</v>
      </c>
      <c r="M1861" s="194" t="s">
        <v>370</v>
      </c>
      <c r="N1861" s="52" t="str">
        <f>IF(AND('331-CT'!$E$7=TH!H1861,OR(L1861="331",M1861="331")),"331",IF(AND(OR(L1861="131",M1861="131"),H1861='131-CT'!$E$7),"131",""))</f>
        <v/>
      </c>
      <c r="O1861" s="857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1"/>
      <c r="AC1861" s="557"/>
    </row>
    <row r="1862" spans="1:30" s="211" customFormat="1" ht="15.75" customHeight="1">
      <c r="A1862" s="204" t="str">
        <f>IF(B1862&lt;&gt;"",IF(AND(B1862&gt;=_TM1,B1862&lt;=_TM2,OR(TH!L1899="1111",TH!M1899="1111")),TH!D1899,""),"")</f>
        <v/>
      </c>
      <c r="B1862" s="36">
        <f t="shared" si="87"/>
        <v>12</v>
      </c>
      <c r="C1862" s="184">
        <f t="shared" si="88"/>
        <v>42721</v>
      </c>
      <c r="D1862" s="184"/>
      <c r="E1862" s="191">
        <v>42721</v>
      </c>
      <c r="F1862" s="40" t="s">
        <v>1504</v>
      </c>
      <c r="G1862" s="456" t="s">
        <v>1529</v>
      </c>
      <c r="H1862" s="193" t="s">
        <v>1503</v>
      </c>
      <c r="I1862" s="257"/>
      <c r="J1862" s="257"/>
      <c r="K1862" s="38">
        <v>1485000</v>
      </c>
      <c r="L1862" s="194" t="s">
        <v>47</v>
      </c>
      <c r="M1862" s="194" t="s">
        <v>259</v>
      </c>
      <c r="N1862" s="52" t="str">
        <f>IF(AND('331-CT'!$E$7=TH!H1862,OR(L1862="331",M1862="331")),"331",IF(AND(OR(L1862="131",M1862="131"),H1862='131-CT'!$E$7),"131",""))</f>
        <v/>
      </c>
      <c r="O1862" s="857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1"/>
      <c r="AC1862" s="557"/>
      <c r="AD1862" s="557"/>
    </row>
    <row r="1863" spans="1:30" s="211" customFormat="1" ht="15.75" customHeight="1">
      <c r="A1863" s="204" t="str">
        <f>IF(B1863&lt;&gt;"",IF(AND(B1863&gt;=_TM1,B1863&lt;=_TM2,OR(TH!L679="1111",TH!M679="1111")),TH!D679,""),"")</f>
        <v/>
      </c>
      <c r="B1863" s="36">
        <f t="shared" ref="B1863:B1928" si="89">IF(C1863&lt;&gt;"",MONTH(C1863),"")</f>
        <v>12</v>
      </c>
      <c r="C1863" s="184">
        <f t="shared" si="88"/>
        <v>42723</v>
      </c>
      <c r="D1863" s="184" t="s">
        <v>699</v>
      </c>
      <c r="E1863" s="191">
        <v>42723</v>
      </c>
      <c r="F1863" s="192" t="s">
        <v>696</v>
      </c>
      <c r="G1863" s="192" t="s">
        <v>1318</v>
      </c>
      <c r="H1863" s="193" t="s">
        <v>1431</v>
      </c>
      <c r="I1863" s="256"/>
      <c r="J1863" s="256"/>
      <c r="K1863" s="565">
        <v>100683000</v>
      </c>
      <c r="L1863" s="566" t="s">
        <v>24</v>
      </c>
      <c r="M1863" s="566" t="s">
        <v>259</v>
      </c>
      <c r="N1863" s="52" t="str">
        <f>IF(AND('331-CT'!$E$7=TH!H1863,OR(L1863="331",M1863="331")),"331",IF(AND(OR(L1863="131",M1863="131"),H1863='131-CT'!$E$7),"131",""))</f>
        <v/>
      </c>
      <c r="O1863" s="857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2"/>
      <c r="AC1863" s="557"/>
      <c r="AD1863" s="557"/>
    </row>
    <row r="1864" spans="1:30" s="211" customFormat="1" ht="15.75" customHeight="1">
      <c r="A1864" s="204" t="str">
        <f>IF(B1864&lt;&gt;"",IF(AND(B1864&gt;=_TM1,B1864&lt;=_TM2,OR(TH!L680="1111",TH!M680="1111")),TH!D680,""),"")</f>
        <v/>
      </c>
      <c r="B1864" s="36">
        <f t="shared" si="89"/>
        <v>12</v>
      </c>
      <c r="C1864" s="184">
        <f t="shared" si="88"/>
        <v>42724</v>
      </c>
      <c r="D1864" s="184" t="s">
        <v>699</v>
      </c>
      <c r="E1864" s="191">
        <v>42724</v>
      </c>
      <c r="F1864" s="192" t="s">
        <v>1327</v>
      </c>
      <c r="G1864" s="192" t="s">
        <v>1318</v>
      </c>
      <c r="H1864" s="193" t="s">
        <v>1322</v>
      </c>
      <c r="I1864" s="256"/>
      <c r="J1864" s="256"/>
      <c r="K1864" s="565">
        <v>11700000</v>
      </c>
      <c r="L1864" s="566" t="s">
        <v>81</v>
      </c>
      <c r="M1864" s="566" t="s">
        <v>24</v>
      </c>
      <c r="N1864" s="52" t="str">
        <f>IF(AND('331-CT'!$E$7=TH!H1864,OR(L1864="331",M1864="331")),"331",IF(AND(OR(L1864="131",M1864="131"),H1864='131-CT'!$E$7),"131",""))</f>
        <v/>
      </c>
      <c r="O1864" s="857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2"/>
      <c r="AC1864" s="557"/>
    </row>
    <row r="1865" spans="1:30" s="211" customFormat="1" ht="15.75" customHeight="1">
      <c r="A1865" s="204" t="str">
        <f>IF(B1865&lt;&gt;"",IF(AND(B1865&gt;=_TM1,B1865&lt;=_TM2,OR(TH!L681="1111",TH!M681="1111")),TH!D681,""),"")</f>
        <v/>
      </c>
      <c r="B1865" s="36">
        <f t="shared" si="89"/>
        <v>12</v>
      </c>
      <c r="C1865" s="184">
        <f t="shared" si="88"/>
        <v>42724</v>
      </c>
      <c r="D1865" s="184" t="s">
        <v>699</v>
      </c>
      <c r="E1865" s="191">
        <v>42724</v>
      </c>
      <c r="F1865" s="192" t="s">
        <v>1327</v>
      </c>
      <c r="G1865" s="192" t="s">
        <v>1318</v>
      </c>
      <c r="H1865" s="193" t="s">
        <v>1325</v>
      </c>
      <c r="I1865" s="256"/>
      <c r="J1865" s="256"/>
      <c r="K1865" s="565">
        <v>1083333</v>
      </c>
      <c r="L1865" s="566" t="s">
        <v>81</v>
      </c>
      <c r="M1865" s="566" t="s">
        <v>24</v>
      </c>
      <c r="N1865" s="52" t="str">
        <f>IF(AND('331-CT'!$E$7=TH!H1865,OR(L1865="331",M1865="331")),"331",IF(AND(OR(L1865="131",M1865="131"),H1865='131-CT'!$E$7),"131",""))</f>
        <v/>
      </c>
      <c r="O1865" s="857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92"/>
      <c r="AC1865" s="557"/>
      <c r="AD1865" s="557"/>
    </row>
    <row r="1866" spans="1:30" s="211" customFormat="1" ht="15.75" customHeight="1">
      <c r="A1866" s="204" t="str">
        <f>IF(B1866&lt;&gt;"",IF(AND(B1866&gt;=_TM1,B1866&lt;=_TM2,OR(TH!L682="1111",TH!M682="1111")),TH!D682,""),"")</f>
        <v/>
      </c>
      <c r="B1866" s="36">
        <f t="shared" si="89"/>
        <v>12</v>
      </c>
      <c r="C1866" s="184">
        <f t="shared" si="88"/>
        <v>42724</v>
      </c>
      <c r="D1866" s="184" t="s">
        <v>699</v>
      </c>
      <c r="E1866" s="191">
        <v>42724</v>
      </c>
      <c r="F1866" s="192" t="s">
        <v>1327</v>
      </c>
      <c r="G1866" s="192" t="s">
        <v>1318</v>
      </c>
      <c r="H1866" s="193" t="s">
        <v>1326</v>
      </c>
      <c r="I1866" s="256"/>
      <c r="J1866" s="256"/>
      <c r="K1866" s="565">
        <v>586130</v>
      </c>
      <c r="L1866" s="566" t="s">
        <v>81</v>
      </c>
      <c r="M1866" s="566" t="s">
        <v>24</v>
      </c>
      <c r="N1866" s="52" t="str">
        <f>IF(AND('331-CT'!$E$7=TH!H1866,OR(L1866="331",M1866="331")),"331",IF(AND(OR(L1866="131",M1866="131"),H1866='131-CT'!$E$7),"131",""))</f>
        <v/>
      </c>
      <c r="O1866" s="857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92"/>
      <c r="AC1866" s="557"/>
    </row>
    <row r="1867" spans="1:30" s="211" customFormat="1" ht="15.75" customHeight="1">
      <c r="A1867" s="204" t="str">
        <f>IF(B1867&lt;&gt;"",IF(AND(B1867&gt;=_TM1,B1867&lt;=_TM2,OR(TH!L683="1111",TH!M683="1111")),TH!D683,""),"")</f>
        <v/>
      </c>
      <c r="B1867" s="36">
        <f t="shared" si="89"/>
        <v>12</v>
      </c>
      <c r="C1867" s="184">
        <f t="shared" si="88"/>
        <v>42724</v>
      </c>
      <c r="D1867" s="184" t="s">
        <v>699</v>
      </c>
      <c r="E1867" s="191">
        <v>42724</v>
      </c>
      <c r="F1867" s="192" t="s">
        <v>1327</v>
      </c>
      <c r="G1867" s="192" t="s">
        <v>1318</v>
      </c>
      <c r="H1867" s="193" t="s">
        <v>1496</v>
      </c>
      <c r="I1867" s="256"/>
      <c r="J1867" s="256"/>
      <c r="K1867" s="565">
        <v>270833</v>
      </c>
      <c r="L1867" s="566" t="s">
        <v>81</v>
      </c>
      <c r="M1867" s="566" t="s">
        <v>24</v>
      </c>
      <c r="N1867" s="52" t="str">
        <f>IF(AND('331-CT'!$E$7=TH!H1867,OR(L1867="331",M1867="331")),"331",IF(AND(OR(L1867="131",M1867="131"),H1867='131-CT'!$E$7),"131",""))</f>
        <v/>
      </c>
      <c r="O1867" s="857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2"/>
      <c r="AC1867" s="557"/>
      <c r="AD1867" s="557"/>
    </row>
    <row r="1868" spans="1:30" s="211" customFormat="1" ht="15.75" customHeight="1">
      <c r="A1868" s="204" t="str">
        <f>IF(B1868&lt;&gt;"",IF(AND(B1868&gt;=_TM1,B1868&lt;=_TM2,OR(TH!L684="1111",TH!M684="1111")),TH!D684,""),"")</f>
        <v/>
      </c>
      <c r="B1868" s="36">
        <f t="shared" si="89"/>
        <v>12</v>
      </c>
      <c r="C1868" s="184">
        <f t="shared" si="88"/>
        <v>42724</v>
      </c>
      <c r="D1868" s="184" t="s">
        <v>699</v>
      </c>
      <c r="E1868" s="191">
        <v>42724</v>
      </c>
      <c r="F1868" s="192" t="s">
        <v>1327</v>
      </c>
      <c r="G1868" s="192" t="s">
        <v>1318</v>
      </c>
      <c r="H1868" s="193" t="s">
        <v>1491</v>
      </c>
      <c r="I1868" s="256"/>
      <c r="J1868" s="256"/>
      <c r="K1868" s="565">
        <v>270833</v>
      </c>
      <c r="L1868" s="566" t="s">
        <v>81</v>
      </c>
      <c r="M1868" s="566" t="s">
        <v>24</v>
      </c>
      <c r="N1868" s="52" t="str">
        <f>IF(AND('331-CT'!$E$7=TH!H1868,OR(L1868="331",M1868="331")),"331",IF(AND(OR(L1868="131",M1868="131"),H1868='131-CT'!$E$7),"131",""))</f>
        <v/>
      </c>
      <c r="O1868" s="857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2"/>
      <c r="AC1868" s="557"/>
      <c r="AD1868" s="557"/>
    </row>
    <row r="1869" spans="1:30" s="211" customFormat="1" ht="15.75" customHeight="1">
      <c r="A1869" s="204" t="str">
        <f>IF(B1869&lt;&gt;"",IF(AND(B1869&gt;=_TM1,B1869&lt;=_TM2,OR(TH!L685="1111",TH!M685="1111")),TH!D685,""),"")</f>
        <v/>
      </c>
      <c r="B1869" s="36">
        <f t="shared" si="89"/>
        <v>12</v>
      </c>
      <c r="C1869" s="184">
        <f t="shared" si="88"/>
        <v>42724</v>
      </c>
      <c r="D1869" s="184" t="s">
        <v>699</v>
      </c>
      <c r="E1869" s="191">
        <v>42724</v>
      </c>
      <c r="F1869" s="192" t="s">
        <v>1327</v>
      </c>
      <c r="G1869" s="192" t="s">
        <v>1318</v>
      </c>
      <c r="H1869" s="193" t="s">
        <v>1497</v>
      </c>
      <c r="I1869" s="256"/>
      <c r="J1869" s="256"/>
      <c r="K1869" s="565">
        <v>1354167</v>
      </c>
      <c r="L1869" s="566" t="s">
        <v>81</v>
      </c>
      <c r="M1869" s="566" t="s">
        <v>24</v>
      </c>
      <c r="N1869" s="52" t="str">
        <f>IF(AND('331-CT'!$E$7=TH!H1869,OR(L1869="331",M1869="331")),"331",IF(AND(OR(L1869="131",M1869="131"),H1869='131-CT'!$E$7),"131",""))</f>
        <v/>
      </c>
      <c r="O1869" s="857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2"/>
      <c r="AC1869" s="557"/>
    </row>
    <row r="1870" spans="1:30" s="211" customFormat="1" ht="15.75" customHeight="1">
      <c r="A1870" s="204" t="str">
        <f>IF(B1870&lt;&gt;"",IF(AND(B1870&gt;=_TM1,B1870&lt;=_TM2,OR(TH!L686="1111",TH!M686="1111")),TH!D686,""),"")</f>
        <v/>
      </c>
      <c r="B1870" s="36">
        <f t="shared" si="89"/>
        <v>12</v>
      </c>
      <c r="C1870" s="184">
        <f t="shared" si="88"/>
        <v>42724</v>
      </c>
      <c r="D1870" s="184" t="s">
        <v>699</v>
      </c>
      <c r="E1870" s="191">
        <v>42724</v>
      </c>
      <c r="F1870" s="192" t="s">
        <v>1327</v>
      </c>
      <c r="G1870" s="192" t="s">
        <v>1318</v>
      </c>
      <c r="H1870" s="193" t="s">
        <v>1545</v>
      </c>
      <c r="I1870" s="256"/>
      <c r="J1870" s="256"/>
      <c r="K1870" s="565">
        <v>354167</v>
      </c>
      <c r="L1870" s="566" t="s">
        <v>81</v>
      </c>
      <c r="M1870" s="566" t="s">
        <v>24</v>
      </c>
      <c r="N1870" s="52" t="str">
        <f>IF(AND('331-CT'!$E$7=TH!H1870,OR(L1870="331",M1870="331")),"331",IF(AND(OR(L1870="131",M1870="131"),H1870='131-CT'!$E$7),"131",""))</f>
        <v/>
      </c>
      <c r="O1870" s="857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2"/>
      <c r="AC1870" s="557"/>
      <c r="AD1870" s="557"/>
    </row>
    <row r="1871" spans="1:30" s="211" customFormat="1" ht="15.75" customHeight="1">
      <c r="A1871" s="204" t="str">
        <f>IF(B1871&lt;&gt;"",IF(AND(B1871&gt;=_TM1,B1871&lt;=_TM2,OR(TH!L687="1111",TH!M687="1111")),TH!D687,""),"")</f>
        <v/>
      </c>
      <c r="B1871" s="36">
        <f t="shared" si="89"/>
        <v>12</v>
      </c>
      <c r="C1871" s="184">
        <f t="shared" si="88"/>
        <v>42724</v>
      </c>
      <c r="D1871" s="184" t="s">
        <v>699</v>
      </c>
      <c r="E1871" s="191">
        <v>42724</v>
      </c>
      <c r="F1871" s="192" t="s">
        <v>1327</v>
      </c>
      <c r="G1871" s="192" t="s">
        <v>1318</v>
      </c>
      <c r="H1871" s="193" t="s">
        <v>1549</v>
      </c>
      <c r="I1871" s="256"/>
      <c r="J1871" s="256"/>
      <c r="K1871" s="565">
        <v>4797917</v>
      </c>
      <c r="L1871" s="566" t="s">
        <v>81</v>
      </c>
      <c r="M1871" s="566" t="s">
        <v>24</v>
      </c>
      <c r="N1871" s="52" t="str">
        <f>IF(AND('331-CT'!$E$7=TH!H1871,OR(L1871="331",M1871="331")),"331",IF(AND(OR(L1871="131",M1871="131"),H1871='131-CT'!$E$7),"131",""))</f>
        <v/>
      </c>
      <c r="O1871" s="857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2"/>
      <c r="AC1871" s="557"/>
      <c r="AD1871" s="557"/>
    </row>
    <row r="1872" spans="1:30" s="211" customFormat="1" ht="15.75" customHeight="1">
      <c r="A1872" s="204" t="str">
        <f>IF(B1872&lt;&gt;"",IF(AND(B1872&gt;=_TM1,B1872&lt;=_TM2,OR(TH!L688="1111",TH!M688="1111")),TH!D688,""),"")</f>
        <v/>
      </c>
      <c r="B1872" s="36">
        <f t="shared" si="89"/>
        <v>12</v>
      </c>
      <c r="C1872" s="184">
        <f t="shared" si="88"/>
        <v>42724</v>
      </c>
      <c r="D1872" s="184" t="s">
        <v>699</v>
      </c>
      <c r="E1872" s="191">
        <v>42724</v>
      </c>
      <c r="F1872" s="192" t="s">
        <v>1327</v>
      </c>
      <c r="G1872" s="192" t="s">
        <v>1318</v>
      </c>
      <c r="H1872" s="193" t="s">
        <v>1546</v>
      </c>
      <c r="I1872" s="256"/>
      <c r="J1872" s="256"/>
      <c r="K1872" s="565">
        <v>188889</v>
      </c>
      <c r="L1872" s="566" t="s">
        <v>81</v>
      </c>
      <c r="M1872" s="566" t="s">
        <v>24</v>
      </c>
      <c r="N1872" s="52" t="str">
        <f>IF(AND('331-CT'!$E$7=TH!H1872,OR(L1872="331",M1872="331")),"331",IF(AND(OR(L1872="131",M1872="131"),H1872='131-CT'!$E$7),"131",""))</f>
        <v/>
      </c>
      <c r="O1872" s="857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2"/>
      <c r="AC1872" s="557"/>
    </row>
    <row r="1873" spans="1:30" s="211" customFormat="1" ht="15.75" customHeight="1">
      <c r="A1873" s="204" t="str">
        <f>IF(B1873&lt;&gt;"",IF(AND(B1873&gt;=_TM1,B1873&lt;=_TM2,OR(TH!L1605="1111",TH!M1605="1111")),TH!D1605,""),"")</f>
        <v/>
      </c>
      <c r="B1873" s="36">
        <f t="shared" si="89"/>
        <v>12</v>
      </c>
      <c r="C1873" s="184">
        <f t="shared" si="88"/>
        <v>42724</v>
      </c>
      <c r="D1873" s="184" t="s">
        <v>1220</v>
      </c>
      <c r="E1873" s="191">
        <v>42724</v>
      </c>
      <c r="F1873" s="934" t="s">
        <v>706</v>
      </c>
      <c r="G1873" s="456" t="s">
        <v>1571</v>
      </c>
      <c r="H1873" s="193" t="s">
        <v>855</v>
      </c>
      <c r="I1873" s="256">
        <v>11500</v>
      </c>
      <c r="J1873" s="256">
        <v>8400</v>
      </c>
      <c r="K1873" s="565">
        <v>96600000</v>
      </c>
      <c r="L1873" s="194" t="s">
        <v>159</v>
      </c>
      <c r="M1873" s="194" t="s">
        <v>8</v>
      </c>
      <c r="N1873" s="52" t="str">
        <f>IF(AND('331-CT'!$E$7=TH!H1873,OR(L1873="331",M1873="331")),"331",IF(AND(OR(L1873="131",M1873="131"),H1873='131-CT'!$E$7),"131",""))</f>
        <v/>
      </c>
      <c r="O1873" s="857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790">
        <v>4</v>
      </c>
      <c r="AC1873" s="557"/>
      <c r="AD1873" s="557"/>
    </row>
    <row r="1874" spans="1:30" s="211" customFormat="1" ht="15.75" customHeight="1">
      <c r="A1874" s="204" t="str">
        <f>IF(B1874&lt;&gt;"",IF(AND(B1874&gt;=_TM1,B1874&lt;=_TM2,OR(TH!L1606="1111",TH!M1606="1111")),TH!D1606,""),"")</f>
        <v/>
      </c>
      <c r="B1874" s="36">
        <f t="shared" si="89"/>
        <v>12</v>
      </c>
      <c r="C1874" s="184">
        <f t="shared" si="88"/>
        <v>42724</v>
      </c>
      <c r="D1874" s="184" t="s">
        <v>1220</v>
      </c>
      <c r="E1874" s="191">
        <v>42724</v>
      </c>
      <c r="F1874" s="192" t="s">
        <v>1570</v>
      </c>
      <c r="G1874" s="456" t="s">
        <v>1571</v>
      </c>
      <c r="H1874" s="193" t="s">
        <v>855</v>
      </c>
      <c r="I1874" s="256"/>
      <c r="J1874" s="256"/>
      <c r="K1874" s="565">
        <v>9660000</v>
      </c>
      <c r="L1874" s="194" t="s">
        <v>9</v>
      </c>
      <c r="M1874" s="194" t="s">
        <v>8</v>
      </c>
      <c r="N1874" s="52" t="str">
        <f>IF(AND('331-CT'!$E$7=TH!H1874,OR(L1874="331",M1874="331")),"331",IF(AND(OR(L1874="131",M1874="131"),H1874='131-CT'!$E$7),"131",""))</f>
        <v/>
      </c>
      <c r="O1874" s="857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790">
        <v>4</v>
      </c>
      <c r="AC1874" s="557"/>
      <c r="AD1874" s="557"/>
    </row>
    <row r="1875" spans="1:30" s="211" customFormat="1" ht="15.75" customHeight="1">
      <c r="A1875" s="204" t="str">
        <f>IF(B1875&lt;&gt;"",IF(AND(B1875&gt;=_TM1,B1875&lt;=_TM2,OR(TH!L1900="1111",TH!M1900="1111")),TH!D1900,""),"")</f>
        <v/>
      </c>
      <c r="B1875" s="36">
        <f t="shared" si="89"/>
        <v>12</v>
      </c>
      <c r="C1875" s="184">
        <f t="shared" si="88"/>
        <v>42724</v>
      </c>
      <c r="D1875" s="184" t="s">
        <v>1180</v>
      </c>
      <c r="E1875" s="191">
        <v>42724</v>
      </c>
      <c r="F1875" s="40" t="s">
        <v>1531</v>
      </c>
      <c r="G1875" s="456" t="s">
        <v>1530</v>
      </c>
      <c r="H1875" s="7" t="s">
        <v>429</v>
      </c>
      <c r="I1875" s="257">
        <v>397</v>
      </c>
      <c r="J1875" s="257">
        <v>10500</v>
      </c>
      <c r="K1875" s="38">
        <f>ROUND(I1875*J1875,0)</f>
        <v>4168500</v>
      </c>
      <c r="L1875" s="194" t="s">
        <v>259</v>
      </c>
      <c r="M1875" s="194" t="s">
        <v>174</v>
      </c>
      <c r="N1875" s="52" t="str">
        <f>IF(AND('331-CT'!$E$7=TH!H1875,OR(L1875="331",M1875="331")),"331",IF(AND(OR(L1875="131",M1875="131"),H1875='131-CT'!$E$7),"131",""))</f>
        <v/>
      </c>
      <c r="O1875" s="857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1"/>
      <c r="AC1875" s="557" t="str">
        <f>IF(VLOOKUP(F1875,NXT!$C$35:$C$411,1,0)=F1875,"","x")</f>
        <v/>
      </c>
    </row>
    <row r="1876" spans="1:30" s="211" customFormat="1" ht="15.75" customHeight="1">
      <c r="A1876" s="204" t="str">
        <f>IF(B1876&lt;&gt;"",IF(AND(B1876&gt;=_TM1,B1876&lt;=_TM2,OR(TH!L1903="1111",TH!M1903="1111")),TH!D1903,""),"")</f>
        <v/>
      </c>
      <c r="B1876" s="36">
        <f t="shared" si="89"/>
        <v>12</v>
      </c>
      <c r="C1876" s="184">
        <f t="shared" si="88"/>
        <v>42724</v>
      </c>
      <c r="D1876" s="184" t="s">
        <v>1180</v>
      </c>
      <c r="E1876" s="191">
        <v>42724</v>
      </c>
      <c r="F1876" s="40" t="s">
        <v>430</v>
      </c>
      <c r="G1876" s="456" t="s">
        <v>1530</v>
      </c>
      <c r="H1876" s="7" t="s">
        <v>429</v>
      </c>
      <c r="I1876" s="257">
        <v>200</v>
      </c>
      <c r="J1876" s="257">
        <v>10500</v>
      </c>
      <c r="K1876" s="38">
        <f>ROUND(I1876*J1876,0)</f>
        <v>2100000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57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1"/>
      <c r="AC1876" s="557" t="str">
        <f>IF(VLOOKUP(F1876,NXT!$C$35:$C$411,1,0)=F1876,"","x")</f>
        <v/>
      </c>
      <c r="AD1876" s="557"/>
    </row>
    <row r="1877" spans="1:30" s="211" customFormat="1" ht="15.75" customHeight="1">
      <c r="A1877" s="204" t="str">
        <f>IF(B1877&lt;&gt;"",IF(AND(B1877&gt;=_TM1,B1877&lt;=_TM2,OR(TH!L1904="1111",TH!M1904="1111")),TH!D1904,""),"")</f>
        <v/>
      </c>
      <c r="B1877" s="36">
        <f t="shared" si="89"/>
        <v>12</v>
      </c>
      <c r="C1877" s="184">
        <f t="shared" si="88"/>
        <v>42724</v>
      </c>
      <c r="D1877" s="184" t="s">
        <v>1180</v>
      </c>
      <c r="E1877" s="191">
        <v>42724</v>
      </c>
      <c r="F1877" s="40" t="s">
        <v>430</v>
      </c>
      <c r="G1877" s="456" t="s">
        <v>1530</v>
      </c>
      <c r="H1877" s="7" t="s">
        <v>429</v>
      </c>
      <c r="I1877" s="257">
        <v>389</v>
      </c>
      <c r="J1877" s="257">
        <v>10500</v>
      </c>
      <c r="K1877" s="38">
        <f>ROUND(I1877*J1877,0)</f>
        <v>4084500</v>
      </c>
      <c r="L1877" s="194" t="s">
        <v>259</v>
      </c>
      <c r="M1877" s="194" t="s">
        <v>174</v>
      </c>
      <c r="N1877" s="52" t="str">
        <f>IF(AND('331-CT'!$E$7=TH!H1877,OR(L1877="331",M1877="331")),"331",IF(AND(OR(L1877="131",M1877="131"),H1877='131-CT'!$E$7),"131",""))</f>
        <v/>
      </c>
      <c r="O1877" s="857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1"/>
      <c r="AC1877" s="557" t="str">
        <f>IF(VLOOKUP(F1877,NXT!$C$35:$C$411,1,0)=F1877,"","x")</f>
        <v/>
      </c>
      <c r="AD1877" s="557"/>
    </row>
    <row r="1878" spans="1:30" s="211" customFormat="1" ht="15.75" customHeight="1">
      <c r="A1878" s="204" t="str">
        <f>IF(B1878&lt;&gt;"",IF(AND(B1878&gt;=_TM1,B1878&lt;=_TM2,OR(TH!L1905="1111",TH!M1905="1111")),TH!D1905,""),"")</f>
        <v/>
      </c>
      <c r="B1878" s="36">
        <f t="shared" si="89"/>
        <v>12</v>
      </c>
      <c r="C1878" s="184">
        <f t="shared" si="88"/>
        <v>42724</v>
      </c>
      <c r="D1878" s="184" t="s">
        <v>1180</v>
      </c>
      <c r="E1878" s="191">
        <v>42724</v>
      </c>
      <c r="F1878" s="40" t="s">
        <v>985</v>
      </c>
      <c r="G1878" s="456" t="s">
        <v>1530</v>
      </c>
      <c r="H1878" s="7" t="s">
        <v>429</v>
      </c>
      <c r="I1878" s="257">
        <v>566</v>
      </c>
      <c r="J1878" s="257">
        <v>8500</v>
      </c>
      <c r="K1878" s="38">
        <f>ROUND(I1878*J1878,0)</f>
        <v>4811000</v>
      </c>
      <c r="L1878" s="194" t="s">
        <v>259</v>
      </c>
      <c r="M1878" s="194" t="s">
        <v>174</v>
      </c>
      <c r="N1878" s="52" t="str">
        <f>IF(AND('331-CT'!$E$7=TH!H1878,OR(L1878="331",M1878="331")),"331",IF(AND(OR(L1878="131",M1878="131"),H1878='131-CT'!$E$7),"131",""))</f>
        <v/>
      </c>
      <c r="O1878" s="857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1"/>
      <c r="AC1878" s="557" t="str">
        <f>IF(VLOOKUP(F1878,NXT!$C$35:$C$411,1,0)=F1878,"","x")</f>
        <v/>
      </c>
    </row>
    <row r="1879" spans="1:30" s="211" customFormat="1" ht="15.75" customHeight="1">
      <c r="A1879" s="204">
        <f>IF(B1879&lt;&gt;"",IF(AND(B1879&gt;=_TM1,B1879&lt;=_TM2,OR(TH!L1906="1111",TH!M1906="1111")),TH!D1906,""),"")</f>
        <v>0</v>
      </c>
      <c r="B1879" s="36">
        <f t="shared" si="89"/>
        <v>12</v>
      </c>
      <c r="C1879" s="184">
        <f t="shared" si="88"/>
        <v>42724</v>
      </c>
      <c r="D1879" s="184" t="s">
        <v>1180</v>
      </c>
      <c r="E1879" s="191">
        <v>42724</v>
      </c>
      <c r="F1879" s="40" t="s">
        <v>1285</v>
      </c>
      <c r="G1879" s="456" t="s">
        <v>1530</v>
      </c>
      <c r="H1879" s="7" t="s">
        <v>429</v>
      </c>
      <c r="I1879" s="257"/>
      <c r="J1879" s="257"/>
      <c r="K1879" s="38">
        <v>1516400</v>
      </c>
      <c r="L1879" s="194" t="s">
        <v>259</v>
      </c>
      <c r="M1879" s="194" t="s">
        <v>370</v>
      </c>
      <c r="N1879" s="52" t="str">
        <f>IF(AND('331-CT'!$E$7=TH!H1879,OR(L1879="331",M1879="331")),"331",IF(AND(OR(L1879="131",M1879="131"),H1879='131-CT'!$E$7),"131",""))</f>
        <v/>
      </c>
      <c r="O1879" s="857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1"/>
      <c r="AC1879" s="557"/>
    </row>
    <row r="1880" spans="1:30" s="211" customFormat="1" ht="15.75" customHeight="1">
      <c r="A1880" s="204" t="str">
        <f>IF(B1880&lt;&gt;"",IF(AND(B1880&gt;=_TM1,B1880&lt;=_TM2,OR(TH!L1907="1111",TH!M1907="1111")),TH!D1907,""),"")</f>
        <v/>
      </c>
      <c r="B1880" s="36">
        <f t="shared" si="89"/>
        <v>12</v>
      </c>
      <c r="C1880" s="184">
        <f t="shared" si="88"/>
        <v>42724</v>
      </c>
      <c r="D1880" s="184" t="s">
        <v>1181</v>
      </c>
      <c r="E1880" s="191">
        <v>42724</v>
      </c>
      <c r="F1880" s="40" t="s">
        <v>1505</v>
      </c>
      <c r="G1880" s="456" t="s">
        <v>1532</v>
      </c>
      <c r="H1880" s="193" t="s">
        <v>1503</v>
      </c>
      <c r="I1880" s="257">
        <v>2400</v>
      </c>
      <c r="J1880" s="257">
        <v>7500</v>
      </c>
      <c r="K1880" s="38">
        <f>ROUND(I1880*J1880,0)</f>
        <v>18000000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57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1"/>
      <c r="AC1880" s="557" t="str">
        <f>IF(VLOOKUP(F1880,NXT!$C$35:$C$411,1,0)=F1880,"","x")</f>
        <v/>
      </c>
    </row>
    <row r="1881" spans="1:30" s="211" customFormat="1" ht="15.75" customHeight="1">
      <c r="A1881" s="204" t="str">
        <f>IF(B1881&lt;&gt;"",IF(AND(B1881&gt;=_TM1,B1881&lt;=_TM2,OR(TH!L1908="1111",TH!M1908="1111")),TH!D1908,""),"")</f>
        <v>GBN</v>
      </c>
      <c r="B1881" s="36">
        <f t="shared" si="89"/>
        <v>12</v>
      </c>
      <c r="C1881" s="184">
        <f t="shared" si="88"/>
        <v>42724</v>
      </c>
      <c r="D1881" s="184" t="s">
        <v>1181</v>
      </c>
      <c r="E1881" s="191">
        <v>42724</v>
      </c>
      <c r="F1881" s="40" t="s">
        <v>1285</v>
      </c>
      <c r="G1881" s="456" t="s">
        <v>1532</v>
      </c>
      <c r="H1881" s="193" t="s">
        <v>1503</v>
      </c>
      <c r="I1881" s="257"/>
      <c r="J1881" s="257"/>
      <c r="K1881" s="38">
        <v>1800000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57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1"/>
      <c r="AC1881" s="557"/>
      <c r="AD1881" s="557"/>
    </row>
    <row r="1882" spans="1:30" s="211" customFormat="1" ht="15.75" customHeight="1">
      <c r="A1882" s="204" t="str">
        <f>IF(B1882&lt;&gt;"",IF(AND(B1882&gt;=_TM1,B1882&lt;=_TM2,OR(TH!L1909="1111",TH!M1909="1111")),TH!D1909,""),"")</f>
        <v/>
      </c>
      <c r="B1882" s="36">
        <f t="shared" si="89"/>
        <v>12</v>
      </c>
      <c r="C1882" s="184">
        <f t="shared" si="88"/>
        <v>42724</v>
      </c>
      <c r="D1882" s="184"/>
      <c r="E1882" s="191">
        <v>42724</v>
      </c>
      <c r="F1882" s="40" t="s">
        <v>1504</v>
      </c>
      <c r="G1882" s="456" t="s">
        <v>1532</v>
      </c>
      <c r="H1882" s="193" t="s">
        <v>1503</v>
      </c>
      <c r="I1882" s="257"/>
      <c r="J1882" s="257"/>
      <c r="K1882" s="38">
        <v>19800000</v>
      </c>
      <c r="L1882" s="194" t="s">
        <v>47</v>
      </c>
      <c r="M1882" s="194" t="s">
        <v>259</v>
      </c>
      <c r="N1882" s="52" t="str">
        <f>IF(AND('331-CT'!$E$7=TH!H1882,OR(L1882="331",M1882="331")),"331",IF(AND(OR(L1882="131",M1882="131"),H1882='131-CT'!$E$7),"131",""))</f>
        <v/>
      </c>
      <c r="O1882" s="857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1"/>
      <c r="AC1882" s="557"/>
      <c r="AD1882" s="557"/>
    </row>
    <row r="1883" spans="1:30" s="211" customFormat="1" ht="15.75" customHeight="1">
      <c r="A1883" s="204" t="str">
        <f>IF(B1883&lt;&gt;"",IF(AND(B1883&gt;=_TM1,B1883&lt;=_TM2,OR(TH!L689="1111",TH!M689="1111")),TH!D689,""),"")</f>
        <v/>
      </c>
      <c r="B1883" s="36">
        <f t="shared" si="89"/>
        <v>12</v>
      </c>
      <c r="C1883" s="184">
        <f t="shared" si="88"/>
        <v>42725</v>
      </c>
      <c r="D1883" s="184" t="s">
        <v>699</v>
      </c>
      <c r="E1883" s="191">
        <v>42725</v>
      </c>
      <c r="F1883" s="189" t="s">
        <v>807</v>
      </c>
      <c r="G1883" s="192" t="s">
        <v>1318</v>
      </c>
      <c r="H1883" s="193" t="s">
        <v>703</v>
      </c>
      <c r="I1883" s="256"/>
      <c r="J1883" s="256"/>
      <c r="K1883" s="565">
        <v>80000000</v>
      </c>
      <c r="L1883" s="566" t="s">
        <v>47</v>
      </c>
      <c r="M1883" s="566" t="s">
        <v>24</v>
      </c>
      <c r="N1883" s="52" t="str">
        <f>IF(AND('331-CT'!$E$7=TH!H1883,OR(L1883="331",M1883="331")),"331",IF(AND(OR(L1883="131",M1883="131"),H1883='131-CT'!$E$7),"131",""))</f>
        <v/>
      </c>
      <c r="O1883" s="857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2"/>
      <c r="AC1883" s="557"/>
      <c r="AD1883" s="557"/>
    </row>
    <row r="1884" spans="1:30" s="211" customFormat="1" ht="15.75" customHeight="1">
      <c r="A1884" s="204" t="str">
        <f>IF(B1884&lt;&gt;"",IF(AND(B1884&gt;=_TM1,B1884&lt;=_TM2,OR(TH!L1910="1111",TH!M1910="1111")),TH!D1910,""),"")</f>
        <v/>
      </c>
      <c r="B1884" s="36">
        <f t="shared" si="89"/>
        <v>12</v>
      </c>
      <c r="C1884" s="184">
        <f t="shared" si="88"/>
        <v>42725</v>
      </c>
      <c r="D1884" s="184" t="s">
        <v>1182</v>
      </c>
      <c r="E1884" s="191">
        <v>42725</v>
      </c>
      <c r="F1884" s="40" t="s">
        <v>1505</v>
      </c>
      <c r="G1884" s="456" t="s">
        <v>1533</v>
      </c>
      <c r="H1884" s="193" t="s">
        <v>1503</v>
      </c>
      <c r="I1884" s="257">
        <v>2400</v>
      </c>
      <c r="J1884" s="257">
        <v>7500</v>
      </c>
      <c r="K1884" s="38">
        <f>ROUND(I1884*J1884,0)</f>
        <v>18000000</v>
      </c>
      <c r="L1884" s="194" t="s">
        <v>259</v>
      </c>
      <c r="M1884" s="194" t="s">
        <v>174</v>
      </c>
      <c r="N1884" s="52" t="str">
        <f>IF(AND('331-CT'!$E$7=TH!H1884,OR(L1884="331",M1884="331")),"331",IF(AND(OR(L1884="131",M1884="131"),H1884='131-CT'!$E$7),"131",""))</f>
        <v/>
      </c>
      <c r="O1884" s="857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1"/>
      <c r="AC1884" s="557" t="str">
        <f>IF(VLOOKUP(F1884,NXT!$C$35:$C$411,1,0)=F1884,"","x")</f>
        <v/>
      </c>
      <c r="AD1884" s="557"/>
    </row>
    <row r="1885" spans="1:30" s="211" customFormat="1" ht="15.75" customHeight="1">
      <c r="A1885" s="204" t="str">
        <f>IF(B1885&lt;&gt;"",IF(AND(B1885&gt;=_TM1,B1885&lt;=_TM2,OR(TH!L1911="1111",TH!M1911="1111")),TH!D1911,""),"")</f>
        <v/>
      </c>
      <c r="B1885" s="36">
        <f t="shared" si="89"/>
        <v>12</v>
      </c>
      <c r="C1885" s="184">
        <f t="shared" si="88"/>
        <v>42725</v>
      </c>
      <c r="D1885" s="184" t="s">
        <v>1182</v>
      </c>
      <c r="E1885" s="191">
        <v>42725</v>
      </c>
      <c r="F1885" s="40" t="s">
        <v>1285</v>
      </c>
      <c r="G1885" s="456" t="s">
        <v>1533</v>
      </c>
      <c r="H1885" s="193" t="s">
        <v>1503</v>
      </c>
      <c r="I1885" s="257"/>
      <c r="J1885" s="257"/>
      <c r="K1885" s="38">
        <v>1800000</v>
      </c>
      <c r="L1885" s="194" t="s">
        <v>259</v>
      </c>
      <c r="M1885" s="194" t="s">
        <v>370</v>
      </c>
      <c r="N1885" s="52" t="str">
        <f>IF(AND('331-CT'!$E$7=TH!H1885,OR(L1885="331",M1885="331")),"331",IF(AND(OR(L1885="131",M1885="131"),H1885='131-CT'!$E$7),"131",""))</f>
        <v/>
      </c>
      <c r="O1885" s="857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1"/>
      <c r="AC1885" s="557"/>
    </row>
    <row r="1886" spans="1:30" s="211" customFormat="1" ht="15.75" customHeight="1">
      <c r="A1886" s="204" t="str">
        <f>IF(B1886&lt;&gt;"",IF(AND(B1886&gt;=_TM1,B1886&lt;=_TM2,OR(TH!L1912="1111",TH!M1912="1111")),TH!D1912,""),"")</f>
        <v/>
      </c>
      <c r="B1886" s="36">
        <f t="shared" si="89"/>
        <v>12</v>
      </c>
      <c r="C1886" s="184">
        <f t="shared" si="88"/>
        <v>42725</v>
      </c>
      <c r="D1886" s="184"/>
      <c r="E1886" s="191">
        <v>42725</v>
      </c>
      <c r="F1886" s="40" t="s">
        <v>1504</v>
      </c>
      <c r="G1886" s="456" t="s">
        <v>1533</v>
      </c>
      <c r="H1886" s="193" t="s">
        <v>1503</v>
      </c>
      <c r="I1886" s="257"/>
      <c r="J1886" s="257"/>
      <c r="K1886" s="38">
        <v>19800000</v>
      </c>
      <c r="L1886" s="194" t="s">
        <v>47</v>
      </c>
      <c r="M1886" s="194" t="s">
        <v>259</v>
      </c>
      <c r="N1886" s="52" t="str">
        <f>IF(AND('331-CT'!$E$7=TH!H1886,OR(L1886="331",M1886="331")),"331",IF(AND(OR(L1886="131",M1886="131"),H1886='131-CT'!$E$7),"131",""))</f>
        <v/>
      </c>
      <c r="O1886" s="857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1"/>
      <c r="AC1886" s="557"/>
      <c r="AD1886" s="557"/>
    </row>
    <row r="1887" spans="1:30" s="211" customFormat="1" ht="15.75" customHeight="1">
      <c r="A1887" s="204" t="str">
        <f>IF(B1887&lt;&gt;"",IF(AND(B1887&gt;=_TM1,B1887&lt;=_TM2,OR(TH!L1913="1111",TH!M1913="1111")),TH!D1913,""),"")</f>
        <v/>
      </c>
      <c r="B1887" s="36">
        <f t="shared" si="89"/>
        <v>12</v>
      </c>
      <c r="C1887" s="184">
        <f t="shared" si="88"/>
        <v>42725</v>
      </c>
      <c r="D1887" s="184" t="s">
        <v>1183</v>
      </c>
      <c r="E1887" s="191">
        <v>42725</v>
      </c>
      <c r="F1887" s="40" t="s">
        <v>1536</v>
      </c>
      <c r="G1887" s="456" t="s">
        <v>1534</v>
      </c>
      <c r="H1887" s="193" t="s">
        <v>1359</v>
      </c>
      <c r="I1887" s="257">
        <v>66</v>
      </c>
      <c r="J1887" s="257">
        <v>25300</v>
      </c>
      <c r="K1887" s="38">
        <f>ROUND(I1887*J1887,0)</f>
        <v>1669800</v>
      </c>
      <c r="L1887" s="194" t="s">
        <v>259</v>
      </c>
      <c r="M1887" s="194" t="s">
        <v>174</v>
      </c>
      <c r="N1887" s="52" t="str">
        <f>IF(AND('331-CT'!$E$7=TH!H1887,OR(L1887="331",M1887="331")),"331",IF(AND(OR(L1887="131",M1887="131"),H1887='131-CT'!$E$7),"131",""))</f>
        <v/>
      </c>
      <c r="O1887" s="857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1"/>
      <c r="AC1887" s="557" t="str">
        <f>IF(VLOOKUP(F1887,NXT!$C$35:$C$411,1,0)=F1887,"","x")</f>
        <v/>
      </c>
    </row>
    <row r="1888" spans="1:30" s="211" customFormat="1" ht="15.75" customHeight="1">
      <c r="A1888" s="204" t="str">
        <f>IF(B1888&lt;&gt;"",IF(AND(B1888&gt;=_TM1,B1888&lt;=_TM2,OR(TH!L1914="1111",TH!M1914="1111")),TH!D1914,""),"")</f>
        <v/>
      </c>
      <c r="B1888" s="36">
        <f t="shared" si="89"/>
        <v>12</v>
      </c>
      <c r="C1888" s="184">
        <f t="shared" si="88"/>
        <v>42725</v>
      </c>
      <c r="D1888" s="184" t="s">
        <v>1183</v>
      </c>
      <c r="E1888" s="191">
        <v>42725</v>
      </c>
      <c r="F1888" s="40" t="s">
        <v>1535</v>
      </c>
      <c r="G1888" s="456" t="s">
        <v>1534</v>
      </c>
      <c r="H1888" s="193" t="s">
        <v>1359</v>
      </c>
      <c r="I1888" s="257">
        <v>64</v>
      </c>
      <c r="J1888" s="257">
        <v>18900</v>
      </c>
      <c r="K1888" s="38">
        <f>ROUND(I1888*J1888,0)</f>
        <v>1209600</v>
      </c>
      <c r="L1888" s="194" t="s">
        <v>259</v>
      </c>
      <c r="M1888" s="194" t="s">
        <v>174</v>
      </c>
      <c r="N1888" s="52" t="str">
        <f>IF(AND('331-CT'!$E$7=TH!H1888,OR(L1888="331",M1888="331")),"331",IF(AND(OR(L1888="131",M1888="131"),H1888='131-CT'!$E$7),"131",""))</f>
        <v/>
      </c>
      <c r="O1888" s="857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1"/>
      <c r="AC1888" s="557" t="str">
        <f>IF(VLOOKUP(F1888,NXT!$C$35:$C$411,1,0)=F1888,"","x")</f>
        <v/>
      </c>
      <c r="AD1888" s="557"/>
    </row>
    <row r="1889" spans="1:30" s="211" customFormat="1" ht="15.75" customHeight="1">
      <c r="A1889" s="204" t="str">
        <f>IF(B1889&lt;&gt;"",IF(AND(B1889&gt;=_TM1,B1889&lt;=_TM2,OR(TH!L1915="1111",TH!M1915="1111")),TH!D1915,""),"")</f>
        <v/>
      </c>
      <c r="B1889" s="36">
        <f t="shared" si="89"/>
        <v>12</v>
      </c>
      <c r="C1889" s="184">
        <f t="shared" si="88"/>
        <v>42725</v>
      </c>
      <c r="D1889" s="184" t="s">
        <v>1183</v>
      </c>
      <c r="E1889" s="191">
        <v>42725</v>
      </c>
      <c r="F1889" s="40" t="s">
        <v>1285</v>
      </c>
      <c r="G1889" s="456" t="s">
        <v>1534</v>
      </c>
      <c r="H1889" s="193" t="s">
        <v>1359</v>
      </c>
      <c r="I1889" s="257"/>
      <c r="J1889" s="257"/>
      <c r="K1889" s="38">
        <v>287940</v>
      </c>
      <c r="L1889" s="194" t="s">
        <v>259</v>
      </c>
      <c r="M1889" s="194" t="s">
        <v>370</v>
      </c>
      <c r="N1889" s="52" t="str">
        <f>IF(AND('331-CT'!$E$7=TH!H1889,OR(L1889="331",M1889="331")),"331",IF(AND(OR(L1889="131",M1889="131"),H1889='131-CT'!$E$7),"131",""))</f>
        <v/>
      </c>
      <c r="O1889" s="857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1"/>
      <c r="AC1889" s="557"/>
      <c r="AD1889" s="557"/>
    </row>
    <row r="1890" spans="1:30" s="211" customFormat="1" ht="15.75" customHeight="1">
      <c r="A1890" s="204" t="str">
        <f>IF(B1890&lt;&gt;"",IF(AND(B1890&gt;=_TM1,B1890&lt;=_TM2,OR(TH!L690="1111",TH!M690="1111")),TH!D690,""),"")</f>
        <v/>
      </c>
      <c r="B1890" s="36">
        <f t="shared" si="89"/>
        <v>12</v>
      </c>
      <c r="C1890" s="184">
        <f t="shared" si="88"/>
        <v>42726</v>
      </c>
      <c r="D1890" s="184" t="s">
        <v>699</v>
      </c>
      <c r="E1890" s="191">
        <v>42726</v>
      </c>
      <c r="F1890" s="189" t="s">
        <v>1493</v>
      </c>
      <c r="G1890" s="192" t="s">
        <v>1318</v>
      </c>
      <c r="H1890" s="193"/>
      <c r="I1890" s="256"/>
      <c r="J1890" s="256"/>
      <c r="K1890" s="565">
        <v>40000</v>
      </c>
      <c r="L1890" s="566" t="s">
        <v>83</v>
      </c>
      <c r="M1890" s="566" t="s">
        <v>24</v>
      </c>
      <c r="N1890" s="52" t="str">
        <f>IF(AND('331-CT'!$E$7=TH!H1890,OR(L1890="331",M1890="331")),"331",IF(AND(OR(L1890="131",M1890="131"),H1890='131-CT'!$E$7),"131",""))</f>
        <v/>
      </c>
      <c r="O1890" s="857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>x</v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2">
        <v>4</v>
      </c>
      <c r="AC1890" s="557"/>
      <c r="AD1890" s="557"/>
    </row>
    <row r="1891" spans="1:30" s="211" customFormat="1" ht="15.75" customHeight="1">
      <c r="A1891" s="204" t="str">
        <f>IF(B1891&lt;&gt;"",IF(AND(B1891&gt;=_TM1,B1891&lt;=_TM2,OR(TH!L691="1111",TH!M691="1111")),TH!D691,""),"")</f>
        <v/>
      </c>
      <c r="B1891" s="36">
        <f t="shared" si="89"/>
        <v>12</v>
      </c>
      <c r="C1891" s="184">
        <f t="shared" si="88"/>
        <v>42726</v>
      </c>
      <c r="D1891" s="184" t="s">
        <v>699</v>
      </c>
      <c r="E1891" s="191">
        <v>42726</v>
      </c>
      <c r="F1891" s="189" t="s">
        <v>1494</v>
      </c>
      <c r="G1891" s="192" t="s">
        <v>1318</v>
      </c>
      <c r="H1891" s="193"/>
      <c r="I1891" s="256"/>
      <c r="J1891" s="256"/>
      <c r="K1891" s="565">
        <v>4000</v>
      </c>
      <c r="L1891" s="194" t="s">
        <v>9</v>
      </c>
      <c r="M1891" s="566" t="s">
        <v>24</v>
      </c>
      <c r="N1891" s="52" t="str">
        <f>IF(AND('331-CT'!$E$7=TH!H1891,OR(L1891="331",M1891="331")),"331",IF(AND(OR(L1891="131",M1891="131"),H1891='131-CT'!$E$7),"131",""))</f>
        <v/>
      </c>
      <c r="O1891" s="857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2">
        <v>4</v>
      </c>
      <c r="AC1891" s="557"/>
    </row>
    <row r="1892" spans="1:30" s="211" customFormat="1" ht="15.75" customHeight="1">
      <c r="A1892" s="204" t="str">
        <f>IF(B1892&lt;&gt;"",IF(AND(B1892&gt;=_TM1,B1892&lt;=_TM2,OR(TH!L692="1111",TH!M692="1111")),TH!D692,""),"")</f>
        <v/>
      </c>
      <c r="B1892" s="36">
        <f t="shared" si="89"/>
        <v>12</v>
      </c>
      <c r="C1892" s="184">
        <f t="shared" si="88"/>
        <v>42726</v>
      </c>
      <c r="D1892" s="184" t="s">
        <v>699</v>
      </c>
      <c r="E1892" s="191">
        <v>42726</v>
      </c>
      <c r="F1892" s="192" t="s">
        <v>696</v>
      </c>
      <c r="G1892" s="192" t="s">
        <v>1318</v>
      </c>
      <c r="H1892" s="7" t="s">
        <v>645</v>
      </c>
      <c r="I1892" s="256"/>
      <c r="J1892" s="256"/>
      <c r="K1892" s="565">
        <v>7144000</v>
      </c>
      <c r="L1892" s="566" t="s">
        <v>24</v>
      </c>
      <c r="M1892" s="566" t="s">
        <v>259</v>
      </c>
      <c r="N1892" s="52" t="str">
        <f>IF(AND('331-CT'!$E$7=TH!H1892,OR(L1892="331",M1892="331")),"331",IF(AND(OR(L1892="131",M1892="131"),H1892='131-CT'!$E$7),"131",""))</f>
        <v/>
      </c>
      <c r="O1892" s="857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2"/>
      <c r="AC1892" s="557"/>
      <c r="AD1892" s="557"/>
    </row>
    <row r="1893" spans="1:30" s="211" customFormat="1" ht="15.75" customHeight="1">
      <c r="A1893" s="204" t="str">
        <f>IF(B1893&lt;&gt;"",IF(AND(B1893&gt;=_TM1,B1893&lt;=_TM2,OR(TH!L693="1111",TH!M693="1111")),TH!D693,""),"")</f>
        <v/>
      </c>
      <c r="B1893" s="36">
        <f t="shared" si="89"/>
        <v>12</v>
      </c>
      <c r="C1893" s="184">
        <f t="shared" si="88"/>
        <v>42726</v>
      </c>
      <c r="D1893" s="184" t="s">
        <v>699</v>
      </c>
      <c r="E1893" s="191">
        <v>42726</v>
      </c>
      <c r="F1893" s="189" t="s">
        <v>1550</v>
      </c>
      <c r="G1893" s="192" t="s">
        <v>1318</v>
      </c>
      <c r="H1893" s="193"/>
      <c r="I1893" s="256"/>
      <c r="J1893" s="256"/>
      <c r="K1893" s="565">
        <v>200000</v>
      </c>
      <c r="L1893" s="566" t="s">
        <v>83</v>
      </c>
      <c r="M1893" s="566" t="s">
        <v>24</v>
      </c>
      <c r="N1893" s="52" t="str">
        <f>IF(AND('331-CT'!$E$7=TH!H1893,OR(L1893="331",M1893="331")),"331",IF(AND(OR(L1893="131",M1893="131"),H1893='131-CT'!$E$7),"131",""))</f>
        <v/>
      </c>
      <c r="O1893" s="857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>x</v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2"/>
      <c r="AC1893" s="557"/>
      <c r="AD1893" s="557"/>
    </row>
    <row r="1894" spans="1:30" s="211" customFormat="1" ht="15.75" customHeight="1">
      <c r="A1894" s="204" t="str">
        <f>IF(B1894&lt;&gt;"",IF(AND(B1894&gt;=_TM1,B1894&lt;=_TM2,OR(TH!L1916="1111",TH!M1916="1111")),TH!D1916,""),"")</f>
        <v/>
      </c>
      <c r="B1894" s="36">
        <f t="shared" si="89"/>
        <v>12</v>
      </c>
      <c r="C1894" s="184">
        <f t="shared" si="88"/>
        <v>42726</v>
      </c>
      <c r="D1894" s="184" t="s">
        <v>1184</v>
      </c>
      <c r="E1894" s="191">
        <v>42726</v>
      </c>
      <c r="F1894" s="40" t="s">
        <v>1505</v>
      </c>
      <c r="G1894" s="456" t="s">
        <v>1537</v>
      </c>
      <c r="H1894" s="193" t="s">
        <v>1503</v>
      </c>
      <c r="I1894" s="257">
        <v>1939</v>
      </c>
      <c r="J1894" s="257">
        <v>7500</v>
      </c>
      <c r="K1894" s="38">
        <f>ROUND(I1894*J1894,0)</f>
        <v>14542500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57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1"/>
      <c r="AC1894" s="557" t="str">
        <f>IF(VLOOKUP(F1894,NXT!$C$35:$C$411,1,0)=F1894,"","x")</f>
        <v/>
      </c>
    </row>
    <row r="1895" spans="1:30" s="211" customFormat="1" ht="15.75" customHeight="1">
      <c r="A1895" s="204" t="str">
        <f>IF(B1895&lt;&gt;"",IF(AND(B1895&gt;=_TM1,B1895&lt;=_TM2,OR(TH!L1917="1111",TH!M1917="1111")),TH!D1917,""),"")</f>
        <v/>
      </c>
      <c r="B1895" s="36">
        <f t="shared" si="89"/>
        <v>12</v>
      </c>
      <c r="C1895" s="184">
        <f t="shared" si="88"/>
        <v>42726</v>
      </c>
      <c r="D1895" s="184" t="s">
        <v>1184</v>
      </c>
      <c r="E1895" s="191">
        <v>42726</v>
      </c>
      <c r="F1895" s="40" t="s">
        <v>1285</v>
      </c>
      <c r="G1895" s="456" t="s">
        <v>1537</v>
      </c>
      <c r="H1895" s="193" t="s">
        <v>1503</v>
      </c>
      <c r="I1895" s="257"/>
      <c r="J1895" s="257"/>
      <c r="K1895" s="38">
        <v>1454250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57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1"/>
      <c r="AC1895" s="557"/>
      <c r="AD1895" s="557"/>
    </row>
    <row r="1896" spans="1:30" s="211" customFormat="1" ht="15.75" customHeight="1">
      <c r="A1896" s="204" t="str">
        <f>IF(B1896&lt;&gt;"",IF(AND(B1896&gt;=_TM1,B1896&lt;=_TM2,OR(TH!L1918="1111",TH!M1918="1111")),TH!D1918,""),"")</f>
        <v/>
      </c>
      <c r="B1896" s="36">
        <f t="shared" si="89"/>
        <v>12</v>
      </c>
      <c r="C1896" s="184">
        <f t="shared" si="88"/>
        <v>42726</v>
      </c>
      <c r="D1896" s="184"/>
      <c r="E1896" s="191">
        <v>42726</v>
      </c>
      <c r="F1896" s="40" t="s">
        <v>1504</v>
      </c>
      <c r="G1896" s="456" t="s">
        <v>1537</v>
      </c>
      <c r="H1896" s="193" t="s">
        <v>1503</v>
      </c>
      <c r="I1896" s="257"/>
      <c r="J1896" s="257"/>
      <c r="K1896" s="38">
        <v>15996750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57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1"/>
      <c r="AC1896" s="557"/>
    </row>
    <row r="1897" spans="1:30" s="211" customFormat="1" ht="15.75" customHeight="1">
      <c r="A1897" s="204" t="str">
        <f>IF(B1897&lt;&gt;"",IF(AND(B1897&gt;=_TM1,B1897&lt;=_TM2,OR(TH!L1919="1111",TH!M1919="1111")),TH!D1919,""),"")</f>
        <v/>
      </c>
      <c r="B1897" s="36">
        <f t="shared" si="89"/>
        <v>12</v>
      </c>
      <c r="C1897" s="184">
        <f t="shared" si="88"/>
        <v>42726</v>
      </c>
      <c r="D1897" s="184" t="s">
        <v>1185</v>
      </c>
      <c r="E1897" s="191">
        <v>42726</v>
      </c>
      <c r="F1897" s="40" t="s">
        <v>1440</v>
      </c>
      <c r="G1897" s="456" t="s">
        <v>1538</v>
      </c>
      <c r="H1897" s="193" t="s">
        <v>1359</v>
      </c>
      <c r="I1897" s="257">
        <v>208</v>
      </c>
      <c r="J1897" s="257">
        <v>7300</v>
      </c>
      <c r="K1897" s="38">
        <f>ROUND(I1897*J1897,0)</f>
        <v>1518400</v>
      </c>
      <c r="L1897" s="194" t="s">
        <v>259</v>
      </c>
      <c r="M1897" s="194" t="s">
        <v>174</v>
      </c>
      <c r="N1897" s="52" t="str">
        <f>IF(AND('331-CT'!$E$7=TH!H1897,OR(L1897="331",M1897="331")),"331",IF(AND(OR(L1897="131",M1897="131"),H1897='131-CT'!$E$7),"131",""))</f>
        <v/>
      </c>
      <c r="O1897" s="857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1"/>
      <c r="AC1897" s="557" t="str">
        <f>IF(VLOOKUP(F1897,NXT!$C$35:$C$411,1,0)=F1897,"","x")</f>
        <v/>
      </c>
      <c r="AD1897" s="557"/>
    </row>
    <row r="1898" spans="1:30" s="211" customFormat="1" ht="15.75" customHeight="1">
      <c r="A1898" s="204" t="str">
        <f>IF(B1898&lt;&gt;"",IF(AND(B1898&gt;=_TM1,B1898&lt;=_TM2,OR(TH!L1920="1111",TH!M1920="1111")),TH!D1920,""),"")</f>
        <v/>
      </c>
      <c r="B1898" s="36">
        <f t="shared" si="89"/>
        <v>12</v>
      </c>
      <c r="C1898" s="184">
        <f t="shared" si="88"/>
        <v>42726</v>
      </c>
      <c r="D1898" s="184" t="s">
        <v>1185</v>
      </c>
      <c r="E1898" s="191">
        <v>42726</v>
      </c>
      <c r="F1898" s="40" t="s">
        <v>1437</v>
      </c>
      <c r="G1898" s="456" t="s">
        <v>1538</v>
      </c>
      <c r="H1898" s="193" t="s">
        <v>1359</v>
      </c>
      <c r="I1898" s="257">
        <v>205</v>
      </c>
      <c r="J1898" s="257">
        <v>7200</v>
      </c>
      <c r="K1898" s="38">
        <f>ROUND(I1898*J1898,0)</f>
        <v>1476000</v>
      </c>
      <c r="L1898" s="194" t="s">
        <v>259</v>
      </c>
      <c r="M1898" s="194" t="s">
        <v>174</v>
      </c>
      <c r="N1898" s="52" t="str">
        <f>IF(AND('331-CT'!$E$7=TH!H1898,OR(L1898="331",M1898="331")),"331",IF(AND(OR(L1898="131",M1898="131"),H1898='131-CT'!$E$7),"131",""))</f>
        <v/>
      </c>
      <c r="O1898" s="857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1"/>
      <c r="AC1898" s="557" t="str">
        <f>IF(VLOOKUP(F1898,NXT!$C$35:$C$411,1,0)=F1898,"","x")</f>
        <v/>
      </c>
      <c r="AD1898" s="557"/>
    </row>
    <row r="1899" spans="1:30" s="211" customFormat="1" ht="15.75" customHeight="1">
      <c r="A1899" s="204" t="str">
        <f>IF(B1899&lt;&gt;"",IF(AND(B1899&gt;=_TM1,B1899&lt;=_TM2,OR(TH!L1921="1111",TH!M1921="1111")),TH!D1921,""),"")</f>
        <v/>
      </c>
      <c r="B1899" s="36">
        <f t="shared" si="89"/>
        <v>12</v>
      </c>
      <c r="C1899" s="184">
        <f t="shared" si="88"/>
        <v>42726</v>
      </c>
      <c r="D1899" s="184" t="s">
        <v>1185</v>
      </c>
      <c r="E1899" s="191">
        <v>42726</v>
      </c>
      <c r="F1899" s="40" t="s">
        <v>1539</v>
      </c>
      <c r="G1899" s="456" t="s">
        <v>1538</v>
      </c>
      <c r="H1899" s="193" t="s">
        <v>1359</v>
      </c>
      <c r="I1899" s="257">
        <v>25</v>
      </c>
      <c r="J1899" s="257">
        <v>17300</v>
      </c>
      <c r="K1899" s="38">
        <f>ROUND(I1899*J1899,0)</f>
        <v>432500</v>
      </c>
      <c r="L1899" s="194" t="s">
        <v>259</v>
      </c>
      <c r="M1899" s="194" t="s">
        <v>174</v>
      </c>
      <c r="N1899" s="52" t="str">
        <f>IF(AND('331-CT'!$E$7=TH!H1899,OR(L1899="331",M1899="331")),"331",IF(AND(OR(L1899="131",M1899="131"),H1899='131-CT'!$E$7),"131",""))</f>
        <v/>
      </c>
      <c r="O1899" s="857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1"/>
      <c r="AC1899" s="557" t="str">
        <f>IF(VLOOKUP(F1899,NXT!$C$35:$C$411,1,0)=F1899,"","x")</f>
        <v/>
      </c>
      <c r="AD1899" s="557"/>
    </row>
    <row r="1900" spans="1:30" s="211" customFormat="1" ht="15.75" customHeight="1">
      <c r="A1900" s="204" t="str">
        <f>IF(B1900&lt;&gt;"",IF(AND(B1900&gt;=_TM1,B1900&lt;=_TM2,OR(TH!L1922="1111",TH!M1922="1111")),TH!D1922,""),"")</f>
        <v/>
      </c>
      <c r="B1900" s="36">
        <f t="shared" si="89"/>
        <v>12</v>
      </c>
      <c r="C1900" s="184">
        <f t="shared" si="88"/>
        <v>42726</v>
      </c>
      <c r="D1900" s="184" t="s">
        <v>1185</v>
      </c>
      <c r="E1900" s="191">
        <v>42726</v>
      </c>
      <c r="F1900" s="40" t="s">
        <v>1285</v>
      </c>
      <c r="G1900" s="456" t="s">
        <v>1538</v>
      </c>
      <c r="H1900" s="193" t="s">
        <v>1359</v>
      </c>
      <c r="I1900" s="257"/>
      <c r="J1900" s="257"/>
      <c r="K1900" s="38">
        <v>342690</v>
      </c>
      <c r="L1900" s="194" t="s">
        <v>259</v>
      </c>
      <c r="M1900" s="194" t="s">
        <v>370</v>
      </c>
      <c r="N1900" s="52" t="str">
        <f>IF(AND('331-CT'!$E$7=TH!H1900,OR(L1900="331",M1900="331")),"331",IF(AND(OR(L1900="131",M1900="131"),H1900='131-CT'!$E$7),"131",""))</f>
        <v/>
      </c>
      <c r="O1900" s="857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1"/>
      <c r="AC1900" s="557"/>
    </row>
    <row r="1901" spans="1:30" s="211" customFormat="1" ht="15.75" customHeight="1">
      <c r="A1901" s="204" t="str">
        <f>IF(B1901&lt;&gt;"",IF(AND(B1901&gt;=_TM1,B1901&lt;=_TM2,OR(TH!L1639="1111",TH!M1639="1111")),TH!D1639,""),"")</f>
        <v/>
      </c>
      <c r="B1901" s="36">
        <f t="shared" ref="B1901:B1902" si="90">IF(C1901&lt;&gt;"",MONTH(C1901),"")</f>
        <v>12</v>
      </c>
      <c r="C1901" s="184">
        <f t="shared" ref="C1901:C1902" si="91">E1901</f>
        <v>42727</v>
      </c>
      <c r="D1901" s="184" t="s">
        <v>1221</v>
      </c>
      <c r="E1901" s="191">
        <v>42727</v>
      </c>
      <c r="F1901" s="192" t="s">
        <v>710</v>
      </c>
      <c r="G1901" s="456" t="s">
        <v>1582</v>
      </c>
      <c r="H1901" s="7" t="s">
        <v>1586</v>
      </c>
      <c r="I1901" s="256">
        <v>9196</v>
      </c>
      <c r="J1901" s="256">
        <v>9000</v>
      </c>
      <c r="K1901" s="38">
        <f>ROUND(I1901*J1901,0)</f>
        <v>82764000</v>
      </c>
      <c r="L1901" s="194" t="s">
        <v>159</v>
      </c>
      <c r="M1901" s="194" t="s">
        <v>8</v>
      </c>
      <c r="N1901" s="52" t="str">
        <f>IF(AND('331-CT'!$E$7=TH!H1901,OR(L1901="331",M1901="331")),"331",IF(AND(OR(L1901="131",M1901="131"),H1901='131-CT'!$E$7),"131",""))</f>
        <v/>
      </c>
      <c r="O1901" s="857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790">
        <v>4</v>
      </c>
      <c r="AC1901" s="557"/>
      <c r="AD1901" s="557"/>
    </row>
    <row r="1902" spans="1:30" s="211" customFormat="1" ht="15.75" customHeight="1">
      <c r="A1902" s="204" t="str">
        <f>IF(B1902&lt;&gt;"",IF(AND(B1902&gt;=_TM1,B1902&lt;=_TM2,OR(TH!L1640="1111",TH!M1640="1111")),TH!D1640,""),"")</f>
        <v/>
      </c>
      <c r="B1902" s="36">
        <f t="shared" si="90"/>
        <v>12</v>
      </c>
      <c r="C1902" s="184">
        <f t="shared" si="91"/>
        <v>42727</v>
      </c>
      <c r="D1902" s="184" t="s">
        <v>1221</v>
      </c>
      <c r="E1902" s="191">
        <v>42727</v>
      </c>
      <c r="F1902" s="192" t="s">
        <v>711</v>
      </c>
      <c r="G1902" s="456" t="s">
        <v>1582</v>
      </c>
      <c r="H1902" s="7" t="s">
        <v>1586</v>
      </c>
      <c r="I1902" s="256"/>
      <c r="J1902" s="256"/>
      <c r="K1902" s="565">
        <v>8276400</v>
      </c>
      <c r="L1902" s="194" t="s">
        <v>9</v>
      </c>
      <c r="M1902" s="194" t="s">
        <v>8</v>
      </c>
      <c r="N1902" s="52" t="str">
        <f>IF(AND('331-CT'!$E$7=TH!H1902,OR(L1902="331",M1902="331")),"331",IF(AND(OR(L1902="131",M1902="131"),H1902='131-CT'!$E$7),"131",""))</f>
        <v/>
      </c>
      <c r="O1902" s="857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790">
        <v>4</v>
      </c>
      <c r="AC1902" s="557"/>
      <c r="AD1902" s="557"/>
    </row>
    <row r="1903" spans="1:30" s="211" customFormat="1" ht="15.75" customHeight="1">
      <c r="A1903" s="204" t="str">
        <f>IF(B1903&lt;&gt;"",IF(AND(B1903&gt;=_TM1,B1903&lt;=_TM2,OR(TH!L509="1111",TH!M509="1111")),TH!D509,""),"")</f>
        <v>GBN</v>
      </c>
      <c r="B1903" s="36">
        <f t="shared" si="89"/>
        <v>12</v>
      </c>
      <c r="C1903" s="184">
        <f t="shared" si="88"/>
        <v>42728</v>
      </c>
      <c r="D1903" s="184" t="s">
        <v>695</v>
      </c>
      <c r="E1903" s="191">
        <v>42728</v>
      </c>
      <c r="F1903" s="192" t="s">
        <v>697</v>
      </c>
      <c r="G1903" s="192" t="s">
        <v>332</v>
      </c>
      <c r="H1903" s="7"/>
      <c r="I1903" s="256"/>
      <c r="J1903" s="256"/>
      <c r="K1903" s="565">
        <v>142</v>
      </c>
      <c r="L1903" s="194" t="s">
        <v>24</v>
      </c>
      <c r="M1903" s="194" t="s">
        <v>40</v>
      </c>
      <c r="N1903" s="52" t="str">
        <f>IF(AND('331-CT'!$E$7=TH!H1903,OR(L1903="331",M1903="331")),"331",IF(AND(OR(L1903="131",M1903="131"),H1903='131-CT'!$E$7),"131",""))</f>
        <v/>
      </c>
      <c r="O1903" s="857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2"/>
      <c r="AC1903" s="557"/>
    </row>
    <row r="1904" spans="1:30" s="211" customFormat="1" ht="15.75" customHeight="1">
      <c r="A1904" s="204" t="str">
        <f>IF(B1904&lt;&gt;"",IF(AND(B1904&gt;=_TM1,B1904&lt;=_TM2,OR(TH!L1923="1111",TH!M1923="1111")),TH!D1923,""),"")</f>
        <v/>
      </c>
      <c r="B1904" s="36">
        <f t="shared" si="89"/>
        <v>12</v>
      </c>
      <c r="C1904" s="184">
        <f t="shared" si="88"/>
        <v>42728</v>
      </c>
      <c r="D1904" s="184" t="s">
        <v>1186</v>
      </c>
      <c r="E1904" s="191">
        <v>42728</v>
      </c>
      <c r="F1904" s="40" t="s">
        <v>1505</v>
      </c>
      <c r="G1904" s="456" t="s">
        <v>1540</v>
      </c>
      <c r="H1904" s="193" t="s">
        <v>1503</v>
      </c>
      <c r="I1904" s="257">
        <v>2400</v>
      </c>
      <c r="J1904" s="257">
        <v>7500</v>
      </c>
      <c r="K1904" s="38">
        <f>ROUND(I1904*J1904,0)</f>
        <v>18000000</v>
      </c>
      <c r="L1904" s="194" t="s">
        <v>259</v>
      </c>
      <c r="M1904" s="194" t="s">
        <v>174</v>
      </c>
      <c r="N1904" s="52" t="str">
        <f>IF(AND('331-CT'!$E$7=TH!H1904,OR(L1904="331",M1904="331")),"331",IF(AND(OR(L1904="131",M1904="131"),H1904='131-CT'!$E$7),"131",""))</f>
        <v/>
      </c>
      <c r="O1904" s="857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1"/>
      <c r="AC1904" s="557" t="str">
        <f>IF(VLOOKUP(F1904,NXT!$C$35:$C$411,1,0)=F1904,"","x")</f>
        <v/>
      </c>
      <c r="AD1904" s="557"/>
    </row>
    <row r="1905" spans="1:30" s="211" customFormat="1" ht="15.75" customHeight="1">
      <c r="A1905" s="204" t="str">
        <f>IF(B1905&lt;&gt;"",IF(AND(B1905&gt;=_TM1,B1905&lt;=_TM2,OR(TH!L1924="1111",TH!M1924="1111")),TH!D1924,""),"")</f>
        <v/>
      </c>
      <c r="B1905" s="36">
        <f t="shared" si="89"/>
        <v>12</v>
      </c>
      <c r="C1905" s="184">
        <f t="shared" si="88"/>
        <v>42728</v>
      </c>
      <c r="D1905" s="184" t="s">
        <v>1186</v>
      </c>
      <c r="E1905" s="191">
        <v>42728</v>
      </c>
      <c r="F1905" s="40" t="s">
        <v>1285</v>
      </c>
      <c r="G1905" s="456" t="s">
        <v>1540</v>
      </c>
      <c r="H1905" s="193" t="s">
        <v>1503</v>
      </c>
      <c r="I1905" s="257"/>
      <c r="J1905" s="257"/>
      <c r="K1905" s="38">
        <v>1800000</v>
      </c>
      <c r="L1905" s="194" t="s">
        <v>259</v>
      </c>
      <c r="M1905" s="194" t="s">
        <v>370</v>
      </c>
      <c r="N1905" s="52" t="str">
        <f>IF(AND('331-CT'!$E$7=TH!H1905,OR(L1905="331",M1905="331")),"331",IF(AND(OR(L1905="131",M1905="131"),H1905='131-CT'!$E$7),"131",""))</f>
        <v/>
      </c>
      <c r="O1905" s="857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1"/>
      <c r="AC1905" s="557"/>
    </row>
    <row r="1906" spans="1:30" s="211" customFormat="1" ht="15.75" customHeight="1">
      <c r="A1906" s="204" t="str">
        <f>IF(B1906&lt;&gt;"",IF(AND(B1906&gt;=_TM1,B1906&lt;=_TM2,OR(TH!L1925="1111",TH!M1925="1111")),TH!D1925,""),"")</f>
        <v/>
      </c>
      <c r="B1906" s="36">
        <f t="shared" si="89"/>
        <v>12</v>
      </c>
      <c r="C1906" s="184">
        <f t="shared" si="88"/>
        <v>42728</v>
      </c>
      <c r="D1906" s="184"/>
      <c r="E1906" s="191">
        <v>42728</v>
      </c>
      <c r="F1906" s="40" t="s">
        <v>1504</v>
      </c>
      <c r="G1906" s="456" t="s">
        <v>1540</v>
      </c>
      <c r="H1906" s="193" t="s">
        <v>1503</v>
      </c>
      <c r="I1906" s="257"/>
      <c r="J1906" s="257"/>
      <c r="K1906" s="38">
        <v>19800000</v>
      </c>
      <c r="L1906" s="194" t="s">
        <v>47</v>
      </c>
      <c r="M1906" s="194" t="s">
        <v>259</v>
      </c>
      <c r="N1906" s="52" t="str">
        <f>IF(AND('331-CT'!$E$7=TH!H1906,OR(L1906="331",M1906="331")),"331",IF(AND(OR(L1906="131",M1906="131"),H1906='131-CT'!$E$7),"131",""))</f>
        <v/>
      </c>
      <c r="O1906" s="857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1"/>
      <c r="AC1906" s="557"/>
      <c r="AD1906" s="557"/>
    </row>
    <row r="1907" spans="1:30" s="211" customFormat="1" ht="15.75" customHeight="1">
      <c r="A1907" s="204" t="str">
        <f>IF(B1907&lt;&gt;"",IF(AND(B1907&gt;=_TM1,B1907&lt;=_TM2,OR(TH!L510="1111",TH!M510="1111")),TH!D510,""),"")</f>
        <v/>
      </c>
      <c r="B1907" s="36">
        <f t="shared" si="89"/>
        <v>12</v>
      </c>
      <c r="C1907" s="184">
        <f t="shared" si="88"/>
        <v>42730</v>
      </c>
      <c r="D1907" s="184" t="s">
        <v>695</v>
      </c>
      <c r="E1907" s="191">
        <v>42730</v>
      </c>
      <c r="F1907" s="192" t="s">
        <v>696</v>
      </c>
      <c r="G1907" s="192" t="s">
        <v>332</v>
      </c>
      <c r="H1907" s="193" t="s">
        <v>1354</v>
      </c>
      <c r="I1907" s="256"/>
      <c r="J1907" s="256"/>
      <c r="K1907" s="565">
        <v>2724150</v>
      </c>
      <c r="L1907" s="194" t="s">
        <v>24</v>
      </c>
      <c r="M1907" s="194" t="s">
        <v>259</v>
      </c>
      <c r="N1907" s="52" t="str">
        <f>IF(AND('331-CT'!$E$7=TH!H1907,OR(L1907="331",M1907="331")),"331",IF(AND(OR(L1907="131",M1907="131"),H1907='131-CT'!$E$7),"131",""))</f>
        <v/>
      </c>
      <c r="O1907" s="857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2"/>
      <c r="AC1907" s="557"/>
    </row>
    <row r="1908" spans="1:30" s="211" customFormat="1" ht="15.75" customHeight="1">
      <c r="A1908" s="204" t="str">
        <f>IF(B1908&lt;&gt;"",IF(AND(B1908&gt;=_TM1,B1908&lt;=_TM2,OR(TH!L694="1111",TH!M694="1111")),TH!D694,""),"")</f>
        <v/>
      </c>
      <c r="B1908" s="36">
        <f t="shared" si="89"/>
        <v>12</v>
      </c>
      <c r="C1908" s="184">
        <f t="shared" si="88"/>
        <v>42730</v>
      </c>
      <c r="D1908" s="184" t="s">
        <v>699</v>
      </c>
      <c r="E1908" s="191">
        <v>42730</v>
      </c>
      <c r="F1908" s="189" t="s">
        <v>785</v>
      </c>
      <c r="G1908" s="192" t="s">
        <v>1318</v>
      </c>
      <c r="H1908" s="193" t="s">
        <v>703</v>
      </c>
      <c r="I1908" s="256"/>
      <c r="J1908" s="256"/>
      <c r="K1908" s="565">
        <v>80000000</v>
      </c>
      <c r="L1908" s="566" t="s">
        <v>24</v>
      </c>
      <c r="M1908" s="566" t="s">
        <v>47</v>
      </c>
      <c r="N1908" s="52" t="str">
        <f>IF(AND('331-CT'!$E$7=TH!H1908,OR(L1908="331",M1908="331")),"331",IF(AND(OR(L1908="131",M1908="131"),H1908='131-CT'!$E$7),"131",""))</f>
        <v/>
      </c>
      <c r="O1908" s="857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2"/>
      <c r="AC1908" s="557"/>
    </row>
    <row r="1909" spans="1:30" s="211" customFormat="1" ht="15.75" customHeight="1">
      <c r="A1909" s="204" t="str">
        <f>IF(B1909&lt;&gt;"",IF(AND(B1909&gt;=_TM1,B1909&lt;=_TM2,OR(TH!L695="1111",TH!M695="1111")),TH!D695,""),"")</f>
        <v/>
      </c>
      <c r="B1909" s="36">
        <f t="shared" si="89"/>
        <v>12</v>
      </c>
      <c r="C1909" s="184">
        <f t="shared" si="88"/>
        <v>42731</v>
      </c>
      <c r="D1909" s="184" t="s">
        <v>699</v>
      </c>
      <c r="E1909" s="191">
        <v>42731</v>
      </c>
      <c r="F1909" s="189" t="s">
        <v>701</v>
      </c>
      <c r="G1909" s="192" t="s">
        <v>1318</v>
      </c>
      <c r="H1909" s="7"/>
      <c r="I1909" s="256"/>
      <c r="J1909" s="256"/>
      <c r="K1909" s="565">
        <v>6000000</v>
      </c>
      <c r="L1909" s="566" t="s">
        <v>8</v>
      </c>
      <c r="M1909" s="566" t="s">
        <v>24</v>
      </c>
      <c r="N1909" s="52" t="str">
        <f>IF(AND('331-CT'!$E$7=TH!H1909,OR(L1909="331",M1909="331")),"331",IF(AND(OR(L1909="131",M1909="131"),H1909='131-CT'!$E$7),"131",""))</f>
        <v/>
      </c>
      <c r="O1909" s="857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2"/>
      <c r="AC1909" s="557"/>
      <c r="AD1909" s="557"/>
    </row>
    <row r="1910" spans="1:30" s="211" customFormat="1" ht="15.75" customHeight="1">
      <c r="A1910" s="204" t="str">
        <f>IF(B1910&lt;&gt;"",IF(AND(B1910&gt;=_TM1,B1910&lt;=_TM2,OR(TH!L696="1111",TH!M696="1111")),TH!D696,""),"")</f>
        <v/>
      </c>
      <c r="B1910" s="36">
        <f t="shared" si="89"/>
        <v>12</v>
      </c>
      <c r="C1910" s="184">
        <f t="shared" si="88"/>
        <v>42731</v>
      </c>
      <c r="D1910" s="184" t="s">
        <v>699</v>
      </c>
      <c r="E1910" s="191">
        <v>42731</v>
      </c>
      <c r="F1910" s="192" t="s">
        <v>702</v>
      </c>
      <c r="G1910" s="192" t="s">
        <v>1318</v>
      </c>
      <c r="H1910" s="193"/>
      <c r="I1910" s="256"/>
      <c r="J1910" s="256"/>
      <c r="K1910" s="565">
        <v>15000</v>
      </c>
      <c r="L1910" s="566" t="s">
        <v>83</v>
      </c>
      <c r="M1910" s="566" t="s">
        <v>24</v>
      </c>
      <c r="N1910" s="52" t="str">
        <f>IF(AND('331-CT'!$E$7=TH!H1910,OR(L1910="331",M1910="331")),"331",IF(AND(OR(L1910="131",M1910="131"),H1910='131-CT'!$E$7),"131",""))</f>
        <v/>
      </c>
      <c r="O1910" s="857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>x</v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2">
        <v>4</v>
      </c>
      <c r="AC1910" s="557"/>
      <c r="AD1910" s="557"/>
    </row>
    <row r="1911" spans="1:30" s="211" customFormat="1" ht="15.75" customHeight="1">
      <c r="A1911" s="204" t="str">
        <f>IF(B1911&lt;&gt;"",IF(AND(B1911&gt;=_TM1,B1911&lt;=_TM2,OR(TH!L697="1111",TH!M697="1111")),TH!D697,""),"")</f>
        <v/>
      </c>
      <c r="B1911" s="36">
        <f t="shared" si="89"/>
        <v>12</v>
      </c>
      <c r="C1911" s="184">
        <f t="shared" si="88"/>
        <v>42731</v>
      </c>
      <c r="D1911" s="184" t="s">
        <v>699</v>
      </c>
      <c r="E1911" s="191">
        <v>42731</v>
      </c>
      <c r="F1911" s="192" t="s">
        <v>793</v>
      </c>
      <c r="G1911" s="192" t="s">
        <v>1318</v>
      </c>
      <c r="H1911" s="7"/>
      <c r="I1911" s="256"/>
      <c r="J1911" s="256"/>
      <c r="K1911" s="565">
        <v>1500</v>
      </c>
      <c r="L1911" s="194" t="s">
        <v>9</v>
      </c>
      <c r="M1911" s="566" t="s">
        <v>24</v>
      </c>
      <c r="N1911" s="52" t="str">
        <f>IF(AND('331-CT'!$E$7=TH!H1911,OR(L1911="331",M1911="331")),"331",IF(AND(OR(L1911="131",M1911="131"),H1911='131-CT'!$E$7),"131",""))</f>
        <v/>
      </c>
      <c r="O1911" s="857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2">
        <v>4</v>
      </c>
      <c r="AC1911" s="557"/>
    </row>
    <row r="1912" spans="1:30" s="211" customFormat="1" ht="15.75" customHeight="1">
      <c r="A1912" s="204" t="str">
        <f>IF(B1912&lt;&gt;"",IF(AND(B1912&gt;=_TM1,B1912&lt;=_TM2,OR(TH!L698="1111",TH!M698="1111")),TH!D698,""),"")</f>
        <v/>
      </c>
      <c r="B1912" s="36">
        <f t="shared" si="89"/>
        <v>12</v>
      </c>
      <c r="C1912" s="184">
        <f t="shared" si="88"/>
        <v>42731</v>
      </c>
      <c r="D1912" s="184" t="s">
        <v>699</v>
      </c>
      <c r="E1912" s="191">
        <v>42731</v>
      </c>
      <c r="F1912" s="189" t="s">
        <v>701</v>
      </c>
      <c r="G1912" s="192" t="s">
        <v>1318</v>
      </c>
      <c r="H1912" s="7"/>
      <c r="I1912" s="256"/>
      <c r="J1912" s="256"/>
      <c r="K1912" s="565">
        <v>10000000</v>
      </c>
      <c r="L1912" s="566" t="s">
        <v>8</v>
      </c>
      <c r="M1912" s="566" t="s">
        <v>24</v>
      </c>
      <c r="N1912" s="52" t="str">
        <f>IF(AND('331-CT'!$E$7=TH!H1912,OR(L1912="331",M1912="331")),"331",IF(AND(OR(L1912="131",M1912="131"),H1912='131-CT'!$E$7),"131",""))</f>
        <v/>
      </c>
      <c r="O1912" s="857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2"/>
      <c r="AC1912" s="557"/>
      <c r="AD1912" s="557"/>
    </row>
    <row r="1913" spans="1:30" s="211" customFormat="1" ht="15.75" customHeight="1">
      <c r="A1913" s="204" t="str">
        <f>IF(B1913&lt;&gt;"",IF(AND(B1913&gt;=_TM1,B1913&lt;=_TM2,OR(TH!L699="1111",TH!M699="1111")),TH!D699,""),"")</f>
        <v>GBN</v>
      </c>
      <c r="B1913" s="36">
        <f t="shared" si="89"/>
        <v>12</v>
      </c>
      <c r="C1913" s="184">
        <f t="shared" si="88"/>
        <v>42731</v>
      </c>
      <c r="D1913" s="184" t="s">
        <v>699</v>
      </c>
      <c r="E1913" s="191">
        <v>42731</v>
      </c>
      <c r="F1913" s="192" t="s">
        <v>702</v>
      </c>
      <c r="G1913" s="192" t="s">
        <v>1318</v>
      </c>
      <c r="H1913" s="193"/>
      <c r="I1913" s="256"/>
      <c r="J1913" s="256"/>
      <c r="K1913" s="565">
        <v>15000</v>
      </c>
      <c r="L1913" s="566" t="s">
        <v>83</v>
      </c>
      <c r="M1913" s="566" t="s">
        <v>24</v>
      </c>
      <c r="N1913" s="52" t="str">
        <f>IF(AND('331-CT'!$E$7=TH!H1913,OR(L1913="331",M1913="331")),"331",IF(AND(OR(L1913="131",M1913="131"),H1913='131-CT'!$E$7),"131",""))</f>
        <v/>
      </c>
      <c r="O1913" s="857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2">
        <v>4</v>
      </c>
      <c r="AC1913" s="557"/>
      <c r="AD1913" s="557"/>
    </row>
    <row r="1914" spans="1:30" s="211" customFormat="1" ht="15.75" customHeight="1">
      <c r="A1914" s="204" t="str">
        <f>IF(B1914&lt;&gt;"",IF(AND(B1914&gt;=_TM1,B1914&lt;=_TM2,OR(TH!L700="1111",TH!M700="1111")),TH!D700,""),"")</f>
        <v/>
      </c>
      <c r="B1914" s="36">
        <f t="shared" si="89"/>
        <v>12</v>
      </c>
      <c r="C1914" s="184">
        <f t="shared" si="88"/>
        <v>42731</v>
      </c>
      <c r="D1914" s="184" t="s">
        <v>699</v>
      </c>
      <c r="E1914" s="191">
        <v>42731</v>
      </c>
      <c r="F1914" s="192" t="s">
        <v>793</v>
      </c>
      <c r="G1914" s="192" t="s">
        <v>1318</v>
      </c>
      <c r="H1914" s="7"/>
      <c r="I1914" s="256"/>
      <c r="J1914" s="256"/>
      <c r="K1914" s="565">
        <v>1500</v>
      </c>
      <c r="L1914" s="194" t="s">
        <v>9</v>
      </c>
      <c r="M1914" s="566" t="s">
        <v>24</v>
      </c>
      <c r="N1914" s="52" t="str">
        <f>IF(AND('331-CT'!$E$7=TH!H1914,OR(L1914="331",M1914="331")),"331",IF(AND(OR(L1914="131",M1914="131"),H1914='131-CT'!$E$7),"131",""))</f>
        <v/>
      </c>
      <c r="O1914" s="857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2">
        <v>4</v>
      </c>
      <c r="AC1914" s="557"/>
      <c r="AD1914" s="557"/>
    </row>
    <row r="1915" spans="1:30" s="211" customFormat="1" ht="15.75" customHeight="1">
      <c r="A1915" s="204" t="str">
        <f>IF(B1915&lt;&gt;"",IF(AND(B1915&gt;=_TM1,B1915&lt;=_TM2,OR(TH!L701="1111",TH!M701="1111")),TH!D701,""),"")</f>
        <v/>
      </c>
      <c r="B1915" s="36">
        <f t="shared" si="89"/>
        <v>12</v>
      </c>
      <c r="C1915" s="184">
        <f t="shared" si="88"/>
        <v>42731</v>
      </c>
      <c r="D1915" s="184" t="s">
        <v>699</v>
      </c>
      <c r="E1915" s="191">
        <v>42731</v>
      </c>
      <c r="F1915" s="189" t="s">
        <v>701</v>
      </c>
      <c r="G1915" s="192" t="s">
        <v>1318</v>
      </c>
      <c r="H1915" s="7"/>
      <c r="I1915" s="256"/>
      <c r="J1915" s="256"/>
      <c r="K1915" s="565">
        <v>5000000</v>
      </c>
      <c r="L1915" s="566" t="s">
        <v>8</v>
      </c>
      <c r="M1915" s="566" t="s">
        <v>24</v>
      </c>
      <c r="N1915" s="52" t="str">
        <f>IF(AND('331-CT'!$E$7=TH!H1915,OR(L1915="331",M1915="331")),"331",IF(AND(OR(L1915="131",M1915="131"),H1915='131-CT'!$E$7),"131",""))</f>
        <v/>
      </c>
      <c r="O1915" s="857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2"/>
      <c r="AC1915" s="557"/>
    </row>
    <row r="1916" spans="1:30" s="211" customFormat="1" ht="15.75" customHeight="1">
      <c r="A1916" s="204" t="str">
        <f>IF(B1916&lt;&gt;"",IF(AND(B1916&gt;=_TM1,B1916&lt;=_TM2,OR(TH!L702="1111",TH!M702="1111")),TH!D702,""),"")</f>
        <v/>
      </c>
      <c r="B1916" s="36">
        <f t="shared" si="89"/>
        <v>12</v>
      </c>
      <c r="C1916" s="184">
        <f t="shared" si="88"/>
        <v>42731</v>
      </c>
      <c r="D1916" s="184" t="s">
        <v>699</v>
      </c>
      <c r="E1916" s="191">
        <v>42731</v>
      </c>
      <c r="F1916" s="192" t="s">
        <v>702</v>
      </c>
      <c r="G1916" s="192" t="s">
        <v>1318</v>
      </c>
      <c r="H1916" s="193"/>
      <c r="I1916" s="256"/>
      <c r="J1916" s="256"/>
      <c r="K1916" s="565">
        <v>15000</v>
      </c>
      <c r="L1916" s="566" t="s">
        <v>83</v>
      </c>
      <c r="M1916" s="566" t="s">
        <v>24</v>
      </c>
      <c r="N1916" s="52" t="str">
        <f>IF(AND('331-CT'!$E$7=TH!H1916,OR(L1916="331",M1916="331")),"331",IF(AND(OR(L1916="131",M1916="131"),H1916='131-CT'!$E$7),"131",""))</f>
        <v/>
      </c>
      <c r="O1916" s="857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>x</v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2">
        <v>4</v>
      </c>
      <c r="AC1916" s="557"/>
      <c r="AD1916" s="557"/>
    </row>
    <row r="1917" spans="1:30" s="211" customFormat="1" ht="15.75" customHeight="1">
      <c r="A1917" s="204" t="str">
        <f>IF(B1917&lt;&gt;"",IF(AND(B1917&gt;=_TM1,B1917&lt;=_TM2,OR(TH!L703="1111",TH!M703="1111")),TH!D703,""),"")</f>
        <v/>
      </c>
      <c r="B1917" s="36">
        <f t="shared" si="89"/>
        <v>12</v>
      </c>
      <c r="C1917" s="184">
        <f t="shared" si="88"/>
        <v>42731</v>
      </c>
      <c r="D1917" s="184" t="s">
        <v>699</v>
      </c>
      <c r="E1917" s="191">
        <v>42731</v>
      </c>
      <c r="F1917" s="192" t="s">
        <v>793</v>
      </c>
      <c r="G1917" s="192" t="s">
        <v>1318</v>
      </c>
      <c r="H1917" s="7"/>
      <c r="I1917" s="256"/>
      <c r="J1917" s="256"/>
      <c r="K1917" s="565">
        <v>1500</v>
      </c>
      <c r="L1917" s="194" t="s">
        <v>9</v>
      </c>
      <c r="M1917" s="566" t="s">
        <v>24</v>
      </c>
      <c r="N1917" s="52" t="str">
        <f>IF(AND('331-CT'!$E$7=TH!H1917,OR(L1917="331",M1917="331")),"331",IF(AND(OR(L1917="131",M1917="131"),H1917='131-CT'!$E$7),"131",""))</f>
        <v/>
      </c>
      <c r="O1917" s="857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2">
        <v>4</v>
      </c>
      <c r="AC1917" s="557"/>
      <c r="AD1917" s="557"/>
    </row>
    <row r="1918" spans="1:30" s="211" customFormat="1" ht="15.75" customHeight="1">
      <c r="A1918" s="204" t="str">
        <f>IF(B1918&lt;&gt;"",IF(AND(B1918&gt;=_TM1,B1918&lt;=_TM2,OR(TH!L704="1111",TH!M704="1111")),TH!D704,""),"")</f>
        <v/>
      </c>
      <c r="B1918" s="36">
        <f t="shared" si="89"/>
        <v>12</v>
      </c>
      <c r="C1918" s="184">
        <f t="shared" si="88"/>
        <v>42731</v>
      </c>
      <c r="D1918" s="184" t="s">
        <v>699</v>
      </c>
      <c r="E1918" s="191">
        <v>42731</v>
      </c>
      <c r="F1918" s="189" t="s">
        <v>701</v>
      </c>
      <c r="G1918" s="192" t="s">
        <v>1318</v>
      </c>
      <c r="H1918" s="7"/>
      <c r="I1918" s="256"/>
      <c r="J1918" s="256"/>
      <c r="K1918" s="565">
        <v>15000000</v>
      </c>
      <c r="L1918" s="566" t="s">
        <v>8</v>
      </c>
      <c r="M1918" s="566" t="s">
        <v>24</v>
      </c>
      <c r="N1918" s="52" t="str">
        <f>IF(AND('331-CT'!$E$7=TH!H1918,OR(L1918="331",M1918="331")),"331",IF(AND(OR(L1918="131",M1918="131"),H1918='131-CT'!$E$7),"131",""))</f>
        <v/>
      </c>
      <c r="O1918" s="857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2"/>
      <c r="AC1918" s="557"/>
      <c r="AD1918" s="557"/>
    </row>
    <row r="1919" spans="1:30" s="211" customFormat="1" ht="15.75" customHeight="1">
      <c r="A1919" s="204" t="str">
        <f>IF(B1919&lt;&gt;"",IF(AND(B1919&gt;=_TM1,B1919&lt;=_TM2,OR(TH!L705="1111",TH!M705="1111")),TH!D705,""),"")</f>
        <v/>
      </c>
      <c r="B1919" s="36">
        <f t="shared" si="89"/>
        <v>12</v>
      </c>
      <c r="C1919" s="184">
        <f t="shared" si="88"/>
        <v>42731</v>
      </c>
      <c r="D1919" s="184" t="s">
        <v>699</v>
      </c>
      <c r="E1919" s="191">
        <v>42731</v>
      </c>
      <c r="F1919" s="192" t="s">
        <v>702</v>
      </c>
      <c r="G1919" s="192" t="s">
        <v>1318</v>
      </c>
      <c r="H1919" s="193"/>
      <c r="I1919" s="256"/>
      <c r="J1919" s="256"/>
      <c r="K1919" s="565">
        <v>20000</v>
      </c>
      <c r="L1919" s="566" t="s">
        <v>83</v>
      </c>
      <c r="M1919" s="566" t="s">
        <v>24</v>
      </c>
      <c r="N1919" s="52" t="str">
        <f>IF(AND('331-CT'!$E$7=TH!H1919,OR(L1919="331",M1919="331")),"331",IF(AND(OR(L1919="131",M1919="131"),H1919='131-CT'!$E$7),"131",""))</f>
        <v/>
      </c>
      <c r="O1919" s="857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>x</v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2">
        <v>4</v>
      </c>
      <c r="AC1919" s="557"/>
      <c r="AD1919" s="557"/>
    </row>
    <row r="1920" spans="1:30" s="211" customFormat="1" ht="15.75" customHeight="1">
      <c r="A1920" s="204" t="str">
        <f>IF(B1920&lt;&gt;"",IF(AND(B1920&gt;=_TM1,B1920&lt;=_TM2,OR(TH!L706="1111",TH!M706="1111")),TH!D706,""),"")</f>
        <v/>
      </c>
      <c r="B1920" s="36">
        <f t="shared" si="89"/>
        <v>12</v>
      </c>
      <c r="C1920" s="184">
        <f t="shared" si="88"/>
        <v>42731</v>
      </c>
      <c r="D1920" s="184" t="s">
        <v>699</v>
      </c>
      <c r="E1920" s="191">
        <v>42731</v>
      </c>
      <c r="F1920" s="192" t="s">
        <v>793</v>
      </c>
      <c r="G1920" s="192" t="s">
        <v>1318</v>
      </c>
      <c r="H1920" s="7"/>
      <c r="I1920" s="256"/>
      <c r="J1920" s="256"/>
      <c r="K1920" s="565">
        <v>2000</v>
      </c>
      <c r="L1920" s="194" t="s">
        <v>9</v>
      </c>
      <c r="M1920" s="566" t="s">
        <v>24</v>
      </c>
      <c r="N1920" s="52" t="str">
        <f>IF(AND('331-CT'!$E$7=TH!H1920,OR(L1920="331",M1920="331")),"331",IF(AND(OR(L1920="131",M1920="131"),H1920='131-CT'!$E$7),"131",""))</f>
        <v/>
      </c>
      <c r="O1920" s="857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2">
        <v>4</v>
      </c>
      <c r="AC1920" s="557"/>
    </row>
    <row r="1921" spans="1:30" s="211" customFormat="1" ht="15.75" customHeight="1">
      <c r="A1921" s="204" t="str">
        <f>IF(B1921&lt;&gt;"",IF(AND(B1921&gt;=_TM1,B1921&lt;=_TM2,OR(TH!L707="1111",TH!M707="1111")),TH!D707,""),"")</f>
        <v/>
      </c>
      <c r="B1921" s="36">
        <f t="shared" si="89"/>
        <v>12</v>
      </c>
      <c r="C1921" s="184">
        <f t="shared" si="88"/>
        <v>42731</v>
      </c>
      <c r="D1921" s="184" t="s">
        <v>699</v>
      </c>
      <c r="E1921" s="191">
        <v>42731</v>
      </c>
      <c r="F1921" s="189" t="s">
        <v>1321</v>
      </c>
      <c r="G1921" s="192" t="s">
        <v>1318</v>
      </c>
      <c r="H1921" s="193" t="s">
        <v>1551</v>
      </c>
      <c r="I1921" s="256"/>
      <c r="J1921" s="256"/>
      <c r="K1921" s="565">
        <v>90000000</v>
      </c>
      <c r="L1921" s="566" t="s">
        <v>24</v>
      </c>
      <c r="M1921" s="566" t="s">
        <v>790</v>
      </c>
      <c r="N1921" s="52" t="str">
        <f>IF(AND('331-CT'!$E$7=TH!H1921,OR(L1921="331",M1921="331")),"331",IF(AND(OR(L1921="131",M1921="131"),H1921='131-CT'!$E$7),"131",""))</f>
        <v/>
      </c>
      <c r="O1921" s="857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2"/>
      <c r="AC1921" s="557"/>
      <c r="AD1921" s="557"/>
    </row>
    <row r="1922" spans="1:30" s="211" customFormat="1" ht="15.75" customHeight="1">
      <c r="A1922" s="204" t="str">
        <f>IF(B1922&lt;&gt;"",IF(AND(B1922&gt;=_TM1,B1922&lt;=_TM2,OR(TH!L708="1111",TH!M708="1111")),TH!D708,""),"")</f>
        <v/>
      </c>
      <c r="B1922" s="36">
        <f t="shared" si="89"/>
        <v>12</v>
      </c>
      <c r="C1922" s="184">
        <f t="shared" si="88"/>
        <v>42731</v>
      </c>
      <c r="D1922" s="184" t="s">
        <v>699</v>
      </c>
      <c r="E1922" s="191">
        <v>42731</v>
      </c>
      <c r="F1922" s="189" t="s">
        <v>701</v>
      </c>
      <c r="G1922" s="192" t="s">
        <v>1318</v>
      </c>
      <c r="H1922" s="7"/>
      <c r="I1922" s="256"/>
      <c r="J1922" s="256"/>
      <c r="K1922" s="565">
        <v>30000000</v>
      </c>
      <c r="L1922" s="566" t="s">
        <v>8</v>
      </c>
      <c r="M1922" s="566" t="s">
        <v>24</v>
      </c>
      <c r="N1922" s="52" t="str">
        <f>IF(AND('331-CT'!$E$7=TH!H1922,OR(L1922="331",M1922="331")),"331",IF(AND(OR(L1922="131",M1922="131"),H1922='131-CT'!$E$7),"131",""))</f>
        <v/>
      </c>
      <c r="O1922" s="857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2"/>
      <c r="AC1922" s="557"/>
      <c r="AD1922" s="557"/>
    </row>
    <row r="1923" spans="1:30" s="211" customFormat="1" ht="15.75" customHeight="1">
      <c r="A1923" s="204" t="str">
        <f>IF(B1923&lt;&gt;"",IF(AND(B1923&gt;=_TM1,B1923&lt;=_TM2,OR(TH!L709="1111",TH!M709="1111")),TH!D709,""),"")</f>
        <v/>
      </c>
      <c r="B1923" s="36">
        <f t="shared" si="89"/>
        <v>12</v>
      </c>
      <c r="C1923" s="184">
        <f t="shared" si="88"/>
        <v>42731</v>
      </c>
      <c r="D1923" s="184" t="s">
        <v>699</v>
      </c>
      <c r="E1923" s="191">
        <v>42731</v>
      </c>
      <c r="F1923" s="192" t="s">
        <v>702</v>
      </c>
      <c r="G1923" s="192" t="s">
        <v>1318</v>
      </c>
      <c r="H1923" s="193"/>
      <c r="I1923" s="256"/>
      <c r="J1923" s="256"/>
      <c r="K1923" s="565">
        <v>20000</v>
      </c>
      <c r="L1923" s="566" t="s">
        <v>83</v>
      </c>
      <c r="M1923" s="566" t="s">
        <v>24</v>
      </c>
      <c r="N1923" s="52" t="str">
        <f>IF(AND('331-CT'!$E$7=TH!H1923,OR(L1923="331",M1923="331")),"331",IF(AND(OR(L1923="131",M1923="131"),H1923='131-CT'!$E$7),"131",""))</f>
        <v/>
      </c>
      <c r="O1923" s="857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2">
        <v>4</v>
      </c>
      <c r="AC1923" s="557"/>
      <c r="AD1923" s="557"/>
    </row>
    <row r="1924" spans="1:30" s="211" customFormat="1" ht="15.75" customHeight="1">
      <c r="A1924" s="204" t="str">
        <f>IF(B1924&lt;&gt;"",IF(AND(B1924&gt;=_TM1,B1924&lt;=_TM2,OR(TH!L710="1111",TH!M710="1111")),TH!D710,""),"")</f>
        <v/>
      </c>
      <c r="B1924" s="36">
        <f t="shared" si="89"/>
        <v>12</v>
      </c>
      <c r="C1924" s="184">
        <f t="shared" si="88"/>
        <v>42731</v>
      </c>
      <c r="D1924" s="184" t="s">
        <v>699</v>
      </c>
      <c r="E1924" s="191">
        <v>42731</v>
      </c>
      <c r="F1924" s="192" t="s">
        <v>793</v>
      </c>
      <c r="G1924" s="192" t="s">
        <v>1318</v>
      </c>
      <c r="H1924" s="7"/>
      <c r="I1924" s="256"/>
      <c r="J1924" s="256"/>
      <c r="K1924" s="565">
        <v>2000</v>
      </c>
      <c r="L1924" s="194" t="s">
        <v>9</v>
      </c>
      <c r="M1924" s="566" t="s">
        <v>24</v>
      </c>
      <c r="N1924" s="52" t="str">
        <f>IF(AND('331-CT'!$E$7=TH!H1924,OR(L1924="331",M1924="331")),"331",IF(AND(OR(L1924="131",M1924="131"),H1924='131-CT'!$E$7),"131",""))</f>
        <v/>
      </c>
      <c r="O1924" s="857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2">
        <v>4</v>
      </c>
      <c r="AC1924" s="557"/>
    </row>
    <row r="1925" spans="1:30" s="211" customFormat="1" ht="15.75" customHeight="1">
      <c r="A1925" s="204" t="str">
        <f>IF(B1925&lt;&gt;"",IF(AND(B1925&gt;=_TM1,B1925&lt;=_TM2,OR(TH!L1926="1111",TH!M1926="1111")),TH!D1926,""),"")</f>
        <v/>
      </c>
      <c r="B1925" s="36">
        <f t="shared" si="89"/>
        <v>12</v>
      </c>
      <c r="C1925" s="184">
        <f t="shared" si="88"/>
        <v>42731</v>
      </c>
      <c r="D1925" s="184" t="s">
        <v>1187</v>
      </c>
      <c r="E1925" s="191">
        <v>42731</v>
      </c>
      <c r="F1925" s="40" t="s">
        <v>1505</v>
      </c>
      <c r="G1925" s="456" t="s">
        <v>1541</v>
      </c>
      <c r="H1925" s="193" t="s">
        <v>1503</v>
      </c>
      <c r="I1925" s="257">
        <v>2030</v>
      </c>
      <c r="J1925" s="257">
        <v>7500</v>
      </c>
      <c r="K1925" s="38">
        <f>ROUND(I1925*J1925,0)</f>
        <v>15225000</v>
      </c>
      <c r="L1925" s="194" t="s">
        <v>259</v>
      </c>
      <c r="M1925" s="194" t="s">
        <v>174</v>
      </c>
      <c r="N1925" s="52" t="str">
        <f>IF(AND('331-CT'!$E$7=TH!H1925,OR(L1925="331",M1925="331")),"331",IF(AND(OR(L1925="131",M1925="131"),H1925='131-CT'!$E$7),"131",""))</f>
        <v/>
      </c>
      <c r="O1925" s="857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1"/>
      <c r="AC1925" s="557" t="str">
        <f>IF(VLOOKUP(F1925,NXT!$C$35:$C$411,1,0)=F1925,"","x")</f>
        <v/>
      </c>
      <c r="AD1925" s="557"/>
    </row>
    <row r="1926" spans="1:30" s="211" customFormat="1" ht="15.75" customHeight="1">
      <c r="A1926" s="204">
        <f>IF(B1926&lt;&gt;"",IF(AND(B1926&gt;=_TM1,B1926&lt;=_TM2,OR(TH!L1927="1111",TH!M1927="1111")),TH!D1927,""),"")</f>
        <v>0</v>
      </c>
      <c r="B1926" s="36">
        <f t="shared" si="89"/>
        <v>12</v>
      </c>
      <c r="C1926" s="184">
        <f t="shared" ref="C1926:C1935" si="92">E1926</f>
        <v>42731</v>
      </c>
      <c r="D1926" s="184" t="s">
        <v>1187</v>
      </c>
      <c r="E1926" s="191">
        <v>42731</v>
      </c>
      <c r="F1926" s="40" t="s">
        <v>1285</v>
      </c>
      <c r="G1926" s="456" t="s">
        <v>1541</v>
      </c>
      <c r="H1926" s="193" t="s">
        <v>1503</v>
      </c>
      <c r="I1926" s="257"/>
      <c r="J1926" s="257"/>
      <c r="K1926" s="38">
        <v>1522500</v>
      </c>
      <c r="L1926" s="194" t="s">
        <v>259</v>
      </c>
      <c r="M1926" s="194" t="s">
        <v>370</v>
      </c>
      <c r="N1926" s="52" t="str">
        <f>IF(AND('331-CT'!$E$7=TH!H1926,OR(L1926="331",M1926="331")),"331",IF(AND(OR(L1926="131",M1926="131"),H1926='131-CT'!$E$7),"131",""))</f>
        <v/>
      </c>
      <c r="O1926" s="857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1"/>
      <c r="AC1926" s="557"/>
    </row>
    <row r="1927" spans="1:30" s="211" customFormat="1" ht="15.75" customHeight="1">
      <c r="A1927" s="204" t="str">
        <f>IF(B1927&lt;&gt;"",IF(AND(B1927&gt;=_TM1,B1927&lt;=_TM2,OR(TH!L1928="1111",TH!M1928="1111")),TH!D1928,""),"")</f>
        <v>GBN</v>
      </c>
      <c r="B1927" s="36">
        <f t="shared" si="89"/>
        <v>12</v>
      </c>
      <c r="C1927" s="184">
        <f t="shared" si="92"/>
        <v>42731</v>
      </c>
      <c r="D1927" s="184"/>
      <c r="E1927" s="191">
        <v>42731</v>
      </c>
      <c r="F1927" s="40" t="s">
        <v>1504</v>
      </c>
      <c r="G1927" s="456" t="s">
        <v>1541</v>
      </c>
      <c r="H1927" s="193" t="s">
        <v>1503</v>
      </c>
      <c r="I1927" s="257"/>
      <c r="J1927" s="257"/>
      <c r="K1927" s="38">
        <v>16747500</v>
      </c>
      <c r="L1927" s="194" t="s">
        <v>47</v>
      </c>
      <c r="M1927" s="194" t="s">
        <v>259</v>
      </c>
      <c r="N1927" s="52" t="str">
        <f>IF(AND('331-CT'!$E$7=TH!H1927,OR(L1927="331",M1927="331")),"331",IF(AND(OR(L1927="131",M1927="131"),H1927='131-CT'!$E$7),"131",""))</f>
        <v/>
      </c>
      <c r="O1927" s="857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1"/>
      <c r="AC1927" s="557"/>
      <c r="AD1927" s="557"/>
    </row>
    <row r="1928" spans="1:30" s="211" customFormat="1" ht="15.75" customHeight="1">
      <c r="A1928" s="204" t="str">
        <f>IF(B1928&lt;&gt;"",IF(AND(B1928&gt;=_TM1,B1928&lt;=_TM2,OR(TH!L568="1111",TH!M568="1111")),TH!D568,""),"")</f>
        <v/>
      </c>
      <c r="B1928" s="36">
        <f t="shared" si="89"/>
        <v>12</v>
      </c>
      <c r="C1928" s="184">
        <f t="shared" si="92"/>
        <v>42732</v>
      </c>
      <c r="D1928" s="184" t="s">
        <v>699</v>
      </c>
      <c r="E1928" s="191">
        <v>42732</v>
      </c>
      <c r="F1928" s="192" t="s">
        <v>700</v>
      </c>
      <c r="G1928" s="192" t="s">
        <v>332</v>
      </c>
      <c r="H1928" s="193" t="s">
        <v>1313</v>
      </c>
      <c r="I1928" s="256"/>
      <c r="J1928" s="256"/>
      <c r="K1928" s="565">
        <v>2700000</v>
      </c>
      <c r="L1928" s="194" t="s">
        <v>47</v>
      </c>
      <c r="M1928" s="566" t="s">
        <v>24</v>
      </c>
      <c r="N1928" s="52" t="str">
        <f>IF(AND('331-CT'!$E$7=TH!H1928,OR(L1928="331",M1928="331")),"331",IF(AND(OR(L1928="131",M1928="131"),H1928='131-CT'!$E$7),"131",""))</f>
        <v/>
      </c>
      <c r="O1928" s="857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2"/>
      <c r="AC1928" s="557"/>
      <c r="AD1928" s="557"/>
    </row>
    <row r="1929" spans="1:30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ref="B1929:B1935" si="93">IF(C1929&lt;&gt;"",MONTH(C1929),"")</f>
        <v>12</v>
      </c>
      <c r="C1929" s="184">
        <f t="shared" si="92"/>
        <v>42732</v>
      </c>
      <c r="D1929" s="184" t="s">
        <v>1188</v>
      </c>
      <c r="E1929" s="191">
        <v>42732</v>
      </c>
      <c r="F1929" s="40" t="s">
        <v>1419</v>
      </c>
      <c r="G1929" s="456" t="s">
        <v>1542</v>
      </c>
      <c r="H1929" s="7" t="s">
        <v>429</v>
      </c>
      <c r="I1929" s="257">
        <v>509</v>
      </c>
      <c r="J1929" s="257">
        <v>10200</v>
      </c>
      <c r="K1929" s="38">
        <f>ROUND(I1929*J1929,0)</f>
        <v>5191800</v>
      </c>
      <c r="L1929" s="194" t="s">
        <v>259</v>
      </c>
      <c r="M1929" s="194" t="s">
        <v>174</v>
      </c>
      <c r="N1929" s="52" t="str">
        <f>IF(AND('331-CT'!$E$7=TH!H1929,OR(L1929="331",M1929="331")),"331",IF(AND(OR(L1929="131",M1929="131"),H1929='131-CT'!$E$7),"131",""))</f>
        <v/>
      </c>
      <c r="O1929" s="857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1"/>
      <c r="AC1929" s="557" t="str">
        <f>IF(VLOOKUP(F1929,NXT!$C$35:$C$411,1,0)=F1929,"","x")</f>
        <v/>
      </c>
    </row>
    <row r="1930" spans="1:30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93"/>
        <v>12</v>
      </c>
      <c r="C1930" s="184">
        <f t="shared" si="92"/>
        <v>42732</v>
      </c>
      <c r="D1930" s="184" t="s">
        <v>1188</v>
      </c>
      <c r="E1930" s="191">
        <v>42732</v>
      </c>
      <c r="F1930" s="40" t="s">
        <v>1285</v>
      </c>
      <c r="G1930" s="456" t="s">
        <v>1542</v>
      </c>
      <c r="H1930" s="7" t="s">
        <v>429</v>
      </c>
      <c r="I1930" s="257"/>
      <c r="J1930" s="257"/>
      <c r="K1930" s="38">
        <v>519180</v>
      </c>
      <c r="L1930" s="194" t="s">
        <v>259</v>
      </c>
      <c r="M1930" s="194" t="s">
        <v>370</v>
      </c>
      <c r="N1930" s="52" t="str">
        <f>IF(AND('331-CT'!$E$7=TH!H1930,OR(L1930="331",M1930="331")),"331",IF(AND(OR(L1930="131",M1930="131"),H1930='131-CT'!$E$7),"131",""))</f>
        <v/>
      </c>
      <c r="O1930" s="857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1"/>
      <c r="AC1930" s="557"/>
      <c r="AD1930" s="557"/>
    </row>
    <row r="1931" spans="1:30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93"/>
        <v>12</v>
      </c>
      <c r="C1931" s="184">
        <f t="shared" si="92"/>
        <v>42732</v>
      </c>
      <c r="D1931" s="184" t="s">
        <v>1189</v>
      </c>
      <c r="E1931" s="191">
        <v>42732</v>
      </c>
      <c r="F1931" s="40" t="s">
        <v>1286</v>
      </c>
      <c r="G1931" s="456" t="s">
        <v>1543</v>
      </c>
      <c r="H1931" s="7" t="s">
        <v>421</v>
      </c>
      <c r="I1931" s="257">
        <v>1049</v>
      </c>
      <c r="J1931" s="257">
        <v>5000</v>
      </c>
      <c r="K1931" s="38">
        <f>ROUND(I1931*J1931,0)</f>
        <v>5245000</v>
      </c>
      <c r="L1931" s="194" t="s">
        <v>259</v>
      </c>
      <c r="M1931" s="194" t="s">
        <v>174</v>
      </c>
      <c r="N1931" s="52" t="str">
        <f>IF(AND('331-CT'!$E$7=TH!H1931,OR(L1931="331",M1931="331")),"331",IF(AND(OR(L1931="131",M1931="131"),H1931='131-CT'!$E$7),"131",""))</f>
        <v/>
      </c>
      <c r="O1931" s="857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1"/>
      <c r="AC1931" s="557" t="str">
        <f>IF(VLOOKUP(F1931,NXT!$C$35:$C$411,1,0)=F1931,"","x")</f>
        <v/>
      </c>
      <c r="AD1931" s="557"/>
    </row>
    <row r="1932" spans="1:30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93"/>
        <v>12</v>
      </c>
      <c r="C1932" s="184">
        <f t="shared" si="92"/>
        <v>42732</v>
      </c>
      <c r="D1932" s="184" t="s">
        <v>1189</v>
      </c>
      <c r="E1932" s="191">
        <v>42732</v>
      </c>
      <c r="F1932" s="40" t="s">
        <v>1287</v>
      </c>
      <c r="G1932" s="456" t="s">
        <v>1543</v>
      </c>
      <c r="H1932" s="7" t="s">
        <v>421</v>
      </c>
      <c r="I1932" s="257">
        <v>504</v>
      </c>
      <c r="J1932" s="257">
        <v>5550</v>
      </c>
      <c r="K1932" s="38">
        <f>ROUND(I1932*J1932,0)</f>
        <v>2797200</v>
      </c>
      <c r="L1932" s="194" t="s">
        <v>259</v>
      </c>
      <c r="M1932" s="194" t="s">
        <v>174</v>
      </c>
      <c r="N1932" s="52" t="str">
        <f>IF(AND('331-CT'!$E$7=TH!H1932,OR(L1932="331",M1932="331")),"331",IF(AND(OR(L1932="131",M1932="131"),H1932='131-CT'!$E$7),"131",""))</f>
        <v/>
      </c>
      <c r="O1932" s="857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91"/>
      <c r="AC1932" s="557" t="str">
        <f>IF(VLOOKUP(F1932,NXT!$C$35:$C$411,1,0)=F1932,"","x")</f>
        <v/>
      </c>
      <c r="AD1932" s="557"/>
    </row>
    <row r="1933" spans="1:30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93"/>
        <v>12</v>
      </c>
      <c r="C1933" s="184">
        <f t="shared" si="92"/>
        <v>42732</v>
      </c>
      <c r="D1933" s="184" t="s">
        <v>1189</v>
      </c>
      <c r="E1933" s="191">
        <v>42732</v>
      </c>
      <c r="F1933" s="40" t="s">
        <v>1285</v>
      </c>
      <c r="G1933" s="456" t="s">
        <v>1543</v>
      </c>
      <c r="H1933" s="7" t="s">
        <v>421</v>
      </c>
      <c r="I1933" s="257"/>
      <c r="J1933" s="257"/>
      <c r="K1933" s="38">
        <v>804220</v>
      </c>
      <c r="L1933" s="194" t="s">
        <v>259</v>
      </c>
      <c r="M1933" s="194" t="s">
        <v>370</v>
      </c>
      <c r="N1933" s="52" t="str">
        <f>IF(AND('331-CT'!$E$7=TH!H1933,OR(L1933="331",M1933="331")),"331",IF(AND(OR(L1933="131",M1933="131"),H1933='131-CT'!$E$7),"131",""))</f>
        <v/>
      </c>
      <c r="O1933" s="857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1"/>
      <c r="AC1933" s="557"/>
    </row>
    <row r="1934" spans="1:30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93"/>
        <v>12</v>
      </c>
      <c r="C1934" s="184">
        <f t="shared" si="92"/>
        <v>42734</v>
      </c>
      <c r="D1934" s="184" t="s">
        <v>1190</v>
      </c>
      <c r="E1934" s="191">
        <v>42734</v>
      </c>
      <c r="F1934" s="40" t="s">
        <v>430</v>
      </c>
      <c r="G1934" s="456" t="s">
        <v>1544</v>
      </c>
      <c r="H1934" s="7" t="s">
        <v>429</v>
      </c>
      <c r="I1934" s="257">
        <v>540</v>
      </c>
      <c r="J1934" s="257">
        <v>10500</v>
      </c>
      <c r="K1934" s="38">
        <f>ROUND(I1934*J1934,0)</f>
        <v>5670000</v>
      </c>
      <c r="L1934" s="194" t="s">
        <v>259</v>
      </c>
      <c r="M1934" s="194" t="s">
        <v>174</v>
      </c>
      <c r="N1934" s="52" t="str">
        <f>IF(AND('331-CT'!$E$7=TH!H1934,OR(L1934="331",M1934="331")),"331",IF(AND(OR(L1934="131",M1934="131"),H1934='131-CT'!$E$7),"131",""))</f>
        <v/>
      </c>
      <c r="O1934" s="857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1"/>
      <c r="AC1934" s="557" t="str">
        <f>IF(VLOOKUP(F1934,NXT!$C$35:$C$411,1,0)=F1934,"","x")</f>
        <v/>
      </c>
      <c r="AD1934" s="557"/>
    </row>
    <row r="1935" spans="1:30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93"/>
        <v>12</v>
      </c>
      <c r="C1935" s="184">
        <f t="shared" si="92"/>
        <v>42734</v>
      </c>
      <c r="D1935" s="184" t="s">
        <v>1190</v>
      </c>
      <c r="E1935" s="191">
        <v>42734</v>
      </c>
      <c r="F1935" s="40" t="s">
        <v>1285</v>
      </c>
      <c r="G1935" s="456" t="s">
        <v>1544</v>
      </c>
      <c r="H1935" s="7" t="s">
        <v>429</v>
      </c>
      <c r="I1935" s="257"/>
      <c r="J1935" s="257"/>
      <c r="K1935" s="38">
        <v>567000</v>
      </c>
      <c r="L1935" s="194" t="s">
        <v>259</v>
      </c>
      <c r="M1935" s="194" t="s">
        <v>370</v>
      </c>
      <c r="N1935" s="52" t="str">
        <f>IF(AND('331-CT'!$E$7=TH!H1935,OR(L1935="331",M1935="331")),"331",IF(AND(OR(L1935="131",M1935="131"),H1935='131-CT'!$E$7),"131",""))</f>
        <v/>
      </c>
      <c r="O1935" s="857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1"/>
      <c r="AC1935" s="557"/>
    </row>
    <row r="1936" spans="1:30" s="900" customFormat="1" ht="15.75" customHeight="1">
      <c r="A1936" s="895" t="str">
        <f>IF(B1936&lt;&gt;"",IF(AND(B1936&gt;=_TM1,B1936&lt;=_TM2,OR(TH!L1936="1111",TH!M1936="1111")),TH!D1936,""),"")</f>
        <v/>
      </c>
      <c r="B1936" s="896">
        <f t="shared" ref="B1936:B1945" si="94">IF(C1936&lt;&gt;"",MONTH(C1936),"")</f>
        <v>1</v>
      </c>
      <c r="C1936" s="897">
        <f t="shared" ref="C1936:C1945" si="95">E1936</f>
        <v>42376</v>
      </c>
      <c r="D1936" s="897" t="s">
        <v>1476</v>
      </c>
      <c r="E1936" s="898">
        <v>42376</v>
      </c>
      <c r="F1936" s="49" t="s">
        <v>710</v>
      </c>
      <c r="G1936" s="871" t="s">
        <v>911</v>
      </c>
      <c r="H1936" s="872" t="s">
        <v>1328</v>
      </c>
      <c r="I1936" s="254">
        <v>300</v>
      </c>
      <c r="J1936" s="254">
        <v>9000</v>
      </c>
      <c r="K1936" s="51">
        <f t="shared" ref="K1936:K1946" si="96">ROUND(I1936*J1936,0)</f>
        <v>2700000</v>
      </c>
      <c r="L1936" s="857" t="s">
        <v>172</v>
      </c>
      <c r="M1936" s="857" t="s">
        <v>159</v>
      </c>
      <c r="N1936" s="52" t="str">
        <f>IF(AND('331-CT'!$E$7=TH!H1936,OR(L1936="331",M1936="331")),"331",IF(AND(OR(L1936="131",M1936="131"),H1936='131-CT'!$E$7),"131",""))</f>
        <v/>
      </c>
      <c r="O1936" s="857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91"/>
      <c r="AC1936" s="899"/>
      <c r="AD1936" s="899"/>
    </row>
    <row r="1937" spans="1:30" s="900" customFormat="1" ht="15.75" customHeight="1">
      <c r="A1937" s="895" t="str">
        <f>IF(B1937&lt;&gt;"",IF(AND(B1937&gt;=_TM1,B1937&lt;=_TM2,OR(TH!L1937="1111",TH!M1937="1111")),TH!D1937,""),"")</f>
        <v/>
      </c>
      <c r="B1937" s="896">
        <f t="shared" si="94"/>
        <v>1</v>
      </c>
      <c r="C1937" s="897">
        <f t="shared" si="95"/>
        <v>42376</v>
      </c>
      <c r="D1937" s="897" t="s">
        <v>1476</v>
      </c>
      <c r="E1937" s="898">
        <v>42376</v>
      </c>
      <c r="F1937" s="49" t="s">
        <v>710</v>
      </c>
      <c r="G1937" s="871" t="s">
        <v>914</v>
      </c>
      <c r="H1937" s="872" t="s">
        <v>1328</v>
      </c>
      <c r="I1937" s="254">
        <v>53</v>
      </c>
      <c r="J1937" s="254">
        <v>9000</v>
      </c>
      <c r="K1937" s="51">
        <f t="shared" si="96"/>
        <v>477000</v>
      </c>
      <c r="L1937" s="857" t="s">
        <v>172</v>
      </c>
      <c r="M1937" s="857" t="s">
        <v>159</v>
      </c>
      <c r="N1937" s="52" t="str">
        <f>IF(AND('331-CT'!$E$7=TH!H1937,OR(L1937="331",M1937="331")),"331",IF(AND(OR(L1937="131",M1937="131"),H1937='131-CT'!$E$7),"131",""))</f>
        <v/>
      </c>
      <c r="O1937" s="857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91"/>
      <c r="AC1937" s="899"/>
      <c r="AD1937" s="899"/>
    </row>
    <row r="1938" spans="1:30" s="900" customFormat="1" ht="15.75" customHeight="1">
      <c r="A1938" s="895" t="str">
        <f>IF(B1938&lt;&gt;"",IF(AND(B1938&gt;=_TM1,B1938&lt;=_TM2,OR(TH!L1938="1111",TH!M1938="1111")),TH!D1938,""),"")</f>
        <v/>
      </c>
      <c r="B1938" s="896">
        <f t="shared" si="94"/>
        <v>4</v>
      </c>
      <c r="C1938" s="897">
        <f t="shared" si="95"/>
        <v>42473</v>
      </c>
      <c r="D1938" s="897" t="s">
        <v>1476</v>
      </c>
      <c r="E1938" s="901">
        <v>42473</v>
      </c>
      <c r="F1938" s="49" t="s">
        <v>710</v>
      </c>
      <c r="G1938" s="871" t="s">
        <v>545</v>
      </c>
      <c r="H1938" s="872" t="s">
        <v>1328</v>
      </c>
      <c r="I1938" s="254">
        <v>1540</v>
      </c>
      <c r="J1938" s="254">
        <v>9000</v>
      </c>
      <c r="K1938" s="51">
        <f t="shared" si="96"/>
        <v>13860000</v>
      </c>
      <c r="L1938" s="857" t="s">
        <v>172</v>
      </c>
      <c r="M1938" s="857" t="s">
        <v>159</v>
      </c>
      <c r="N1938" s="52" t="str">
        <f>IF(AND('331-CT'!$E$7=TH!H1938,OR(L1938="331",M1938="331")),"331",IF(AND(OR(L1938="131",M1938="131"),H1938='131-CT'!$E$7),"131",""))</f>
        <v/>
      </c>
      <c r="O1938" s="857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91"/>
      <c r="AC1938" s="899"/>
      <c r="AD1938" s="899"/>
    </row>
    <row r="1939" spans="1:30" s="900" customFormat="1" ht="15.75" customHeight="1">
      <c r="A1939" s="895" t="str">
        <f>IF(B1939&lt;&gt;"",IF(AND(B1939&gt;=_TM1,B1939&lt;=_TM2,OR(TH!L1939="1111",TH!M1939="1111")),TH!D1939,""),"")</f>
        <v/>
      </c>
      <c r="B1939" s="896">
        <f t="shared" si="94"/>
        <v>5</v>
      </c>
      <c r="C1939" s="897">
        <f t="shared" si="95"/>
        <v>42496</v>
      </c>
      <c r="D1939" s="897" t="s">
        <v>1476</v>
      </c>
      <c r="E1939" s="902">
        <v>42496</v>
      </c>
      <c r="F1939" s="49" t="s">
        <v>710</v>
      </c>
      <c r="G1939" s="49" t="s">
        <v>572</v>
      </c>
      <c r="H1939" s="872" t="s">
        <v>1328</v>
      </c>
      <c r="I1939" s="254">
        <v>200</v>
      </c>
      <c r="J1939" s="254">
        <v>9000</v>
      </c>
      <c r="K1939" s="51">
        <f t="shared" si="96"/>
        <v>1800000</v>
      </c>
      <c r="L1939" s="857" t="s">
        <v>172</v>
      </c>
      <c r="M1939" s="857" t="s">
        <v>159</v>
      </c>
      <c r="N1939" s="52" t="str">
        <f>IF(AND('331-CT'!$E$7=TH!H1939,OR(L1939="331",M1939="331")),"331",IF(AND(OR(L1939="131",M1939="131"),H1939='131-CT'!$E$7),"131",""))</f>
        <v/>
      </c>
      <c r="O1939" s="857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91"/>
      <c r="AC1939" s="899"/>
      <c r="AD1939" s="899"/>
    </row>
    <row r="1940" spans="1:30" s="900" customFormat="1" ht="15.75" customHeight="1">
      <c r="A1940" s="895" t="str">
        <f>IF(B1940&lt;&gt;"",IF(AND(B1940&gt;=_TM1,B1940&lt;=_TM2,OR(TH!L1940="1111",TH!M1940="1111")),TH!D1940,""),"")</f>
        <v/>
      </c>
      <c r="B1940" s="896">
        <f t="shared" si="94"/>
        <v>5</v>
      </c>
      <c r="C1940" s="897">
        <f t="shared" si="95"/>
        <v>42503</v>
      </c>
      <c r="D1940" s="897" t="s">
        <v>1476</v>
      </c>
      <c r="E1940" s="902">
        <v>42503</v>
      </c>
      <c r="F1940" s="49" t="s">
        <v>710</v>
      </c>
      <c r="G1940" s="49" t="s">
        <v>1056</v>
      </c>
      <c r="H1940" s="872" t="s">
        <v>1328</v>
      </c>
      <c r="I1940" s="254">
        <v>1566</v>
      </c>
      <c r="J1940" s="254">
        <v>9000</v>
      </c>
      <c r="K1940" s="51">
        <f t="shared" si="96"/>
        <v>14094000</v>
      </c>
      <c r="L1940" s="857" t="s">
        <v>172</v>
      </c>
      <c r="M1940" s="857" t="s">
        <v>159</v>
      </c>
      <c r="N1940" s="52" t="str">
        <f>IF(AND('331-CT'!$E$7=TH!H1940,OR(L1940="331",M1940="331")),"331",IF(AND(OR(L1940="131",M1940="131"),H1940='131-CT'!$E$7),"131",""))</f>
        <v/>
      </c>
      <c r="O1940" s="857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91"/>
      <c r="AC1940" s="899"/>
    </row>
    <row r="1941" spans="1:30" s="900" customFormat="1" ht="15.75" customHeight="1">
      <c r="A1941" s="895" t="str">
        <f>IF(B1941&lt;&gt;"",IF(AND(B1941&gt;=_TM1,B1941&lt;=_TM2,OR(TH!L1941="1111",TH!M1941="1111")),TH!D1941,""),"")</f>
        <v/>
      </c>
      <c r="B1941" s="896">
        <f t="shared" si="94"/>
        <v>6</v>
      </c>
      <c r="C1941" s="897">
        <f t="shared" si="95"/>
        <v>42545</v>
      </c>
      <c r="D1941" s="897" t="s">
        <v>1476</v>
      </c>
      <c r="E1941" s="902">
        <v>42545</v>
      </c>
      <c r="F1941" s="49" t="s">
        <v>710</v>
      </c>
      <c r="G1941" s="49" t="s">
        <v>628</v>
      </c>
      <c r="H1941" s="872" t="s">
        <v>1328</v>
      </c>
      <c r="I1941" s="254">
        <v>210</v>
      </c>
      <c r="J1941" s="254">
        <v>9000</v>
      </c>
      <c r="K1941" s="51">
        <f t="shared" si="96"/>
        <v>1890000</v>
      </c>
      <c r="L1941" s="857" t="s">
        <v>172</v>
      </c>
      <c r="M1941" s="857" t="s">
        <v>159</v>
      </c>
      <c r="N1941" s="52" t="str">
        <f>IF(AND('331-CT'!$E$7=TH!H1941,OR(L1941="331",M1941="331")),"331",IF(AND(OR(L1941="131",M1941="131"),H1941='131-CT'!$E$7),"131",""))</f>
        <v/>
      </c>
      <c r="O1941" s="857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91"/>
      <c r="AC1941" s="899"/>
    </row>
    <row r="1942" spans="1:30" s="900" customFormat="1" ht="15.75" customHeight="1">
      <c r="A1942" s="895" t="str">
        <f>IF(B1942&lt;&gt;"",IF(AND(B1942&gt;=_TM1,B1942&lt;=_TM2,OR(TH!L1942="1111",TH!M1942="1111")),TH!D1942,""),"")</f>
        <v/>
      </c>
      <c r="B1942" s="896">
        <f t="shared" si="94"/>
        <v>9</v>
      </c>
      <c r="C1942" s="897">
        <f t="shared" si="95"/>
        <v>42635</v>
      </c>
      <c r="D1942" s="897" t="s">
        <v>1476</v>
      </c>
      <c r="E1942" s="48">
        <v>42635</v>
      </c>
      <c r="F1942" s="49" t="s">
        <v>710</v>
      </c>
      <c r="G1942" s="49" t="s">
        <v>1301</v>
      </c>
      <c r="H1942" s="872" t="s">
        <v>1328</v>
      </c>
      <c r="I1942" s="254">
        <v>319</v>
      </c>
      <c r="J1942" s="254">
        <v>9000</v>
      </c>
      <c r="K1942" s="51">
        <f t="shared" si="96"/>
        <v>2871000</v>
      </c>
      <c r="L1942" s="857" t="s">
        <v>172</v>
      </c>
      <c r="M1942" s="857" t="s">
        <v>159</v>
      </c>
      <c r="N1942" s="52" t="str">
        <f>IF(AND('331-CT'!$E$7=TH!H1942,OR(L1942="331",M1942="331")),"331",IF(AND(OR(L1942="131",M1942="131"),H1942='131-CT'!$E$7),"131",""))</f>
        <v/>
      </c>
      <c r="O1942" s="857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891"/>
      <c r="AC1942" s="899"/>
      <c r="AD1942" s="899"/>
    </row>
    <row r="1943" spans="1:30" s="900" customFormat="1" ht="15.75" customHeight="1">
      <c r="A1943" s="895" t="str">
        <f>IF(B1943&lt;&gt;"",IF(AND(B1943&gt;=_TM1,B1943&lt;=_TM2,OR(TH!L1943="1111",TH!M1943="1111")),TH!D1943,""),"")</f>
        <v/>
      </c>
      <c r="B1943" s="896">
        <f t="shared" si="94"/>
        <v>10</v>
      </c>
      <c r="C1943" s="897">
        <f t="shared" si="95"/>
        <v>42669</v>
      </c>
      <c r="D1943" s="897" t="s">
        <v>1476</v>
      </c>
      <c r="E1943" s="902">
        <v>42669</v>
      </c>
      <c r="F1943" s="49" t="s">
        <v>710</v>
      </c>
      <c r="G1943" s="49" t="s">
        <v>1375</v>
      </c>
      <c r="H1943" s="872" t="s">
        <v>1328</v>
      </c>
      <c r="I1943" s="254">
        <v>220</v>
      </c>
      <c r="J1943" s="254">
        <v>9000</v>
      </c>
      <c r="K1943" s="51">
        <f t="shared" si="96"/>
        <v>1980000</v>
      </c>
      <c r="L1943" s="857" t="s">
        <v>172</v>
      </c>
      <c r="M1943" s="857" t="s">
        <v>159</v>
      </c>
      <c r="N1943" s="52" t="str">
        <f>IF(AND('331-CT'!$E$7=TH!H1943,OR(L1943="331",M1943="331")),"331",IF(AND(OR(L1943="131",M1943="131"),H1943='131-CT'!$E$7),"131",""))</f>
        <v/>
      </c>
      <c r="O1943" s="857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91"/>
      <c r="AC1943" s="899"/>
      <c r="AD1943" s="899"/>
    </row>
    <row r="1944" spans="1:30" s="900" customFormat="1" ht="15.75" customHeight="1">
      <c r="A1944" s="895" t="str">
        <f>IF(B1944&lt;&gt;"",IF(AND(B1944&gt;=_TM1,B1944&lt;=_TM2,OR(TH!L1944="1111",TH!M1944="1111")),TH!D1944,""),"")</f>
        <v/>
      </c>
      <c r="B1944" s="896">
        <f t="shared" si="94"/>
        <v>10</v>
      </c>
      <c r="C1944" s="897">
        <f t="shared" si="95"/>
        <v>42670</v>
      </c>
      <c r="D1944" s="897" t="s">
        <v>1476</v>
      </c>
      <c r="E1944" s="902">
        <v>42670</v>
      </c>
      <c r="F1944" s="49" t="s">
        <v>710</v>
      </c>
      <c r="G1944" s="49" t="s">
        <v>1380</v>
      </c>
      <c r="H1944" s="872" t="s">
        <v>1328</v>
      </c>
      <c r="I1944" s="254">
        <v>313</v>
      </c>
      <c r="J1944" s="254">
        <v>9000</v>
      </c>
      <c r="K1944" s="51">
        <f t="shared" si="96"/>
        <v>2817000</v>
      </c>
      <c r="L1944" s="857" t="s">
        <v>172</v>
      </c>
      <c r="M1944" s="857" t="s">
        <v>159</v>
      </c>
      <c r="N1944" s="52" t="str">
        <f>IF(AND('331-CT'!$E$7=TH!H1944,OR(L1944="331",M1944="331")),"331",IF(AND(OR(L1944="131",M1944="131"),H1944='131-CT'!$E$7),"131",""))</f>
        <v/>
      </c>
      <c r="O1944" s="857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91"/>
      <c r="AC1944" s="899"/>
    </row>
    <row r="1945" spans="1:30" s="900" customFormat="1" ht="15.75" customHeight="1">
      <c r="A1945" s="895" t="str">
        <f>IF(B1945&lt;&gt;"",IF(AND(B1945&gt;=_TM1,B1945&lt;=_TM2,OR(TH!L1945="1111",TH!M1945="1111")),TH!D1945,""),"")</f>
        <v/>
      </c>
      <c r="B1945" s="896">
        <f t="shared" si="94"/>
        <v>12</v>
      </c>
      <c r="C1945" s="897">
        <f t="shared" si="95"/>
        <v>42707</v>
      </c>
      <c r="D1945" s="897" t="s">
        <v>1476</v>
      </c>
      <c r="E1945" s="869">
        <v>42707</v>
      </c>
      <c r="F1945" s="49" t="s">
        <v>710</v>
      </c>
      <c r="G1945" s="871" t="s">
        <v>1509</v>
      </c>
      <c r="H1945" s="872" t="s">
        <v>1328</v>
      </c>
      <c r="I1945" s="923">
        <f>114+109</f>
        <v>223</v>
      </c>
      <c r="J1945" s="254">
        <v>9000</v>
      </c>
      <c r="K1945" s="51">
        <f t="shared" si="96"/>
        <v>2007000</v>
      </c>
      <c r="L1945" s="857" t="s">
        <v>172</v>
      </c>
      <c r="M1945" s="857" t="s">
        <v>159</v>
      </c>
      <c r="N1945" s="52" t="str">
        <f>IF(AND('331-CT'!$E$7=TH!H1945,OR(L1945="331",M1945="331")),"331",IF(AND(OR(L1945="131",M1945="131"),H1945='131-CT'!$E$7),"131",""))</f>
        <v/>
      </c>
      <c r="O1945" s="857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91"/>
      <c r="AC1945" s="899"/>
      <c r="AD1945" s="899"/>
    </row>
    <row r="1946" spans="1:30" s="827" customFormat="1" ht="15.75" customHeight="1">
      <c r="A1946" s="924" t="str">
        <f>IF(B1946&lt;&gt;"",IF(AND(B1946&gt;=_TM1,B1946&lt;=_TM2,OR(TH!L1946="1111",TH!M1946="1111")),TH!D1946,""),"")</f>
        <v/>
      </c>
      <c r="B1946" s="818">
        <f t="shared" ref="B1946:B1964" si="97">IF(C1946&lt;&gt;"",MONTH(C1946),"")</f>
        <v>1</v>
      </c>
      <c r="C1946" s="819">
        <f t="shared" ref="C1946:C1953" si="98">E1946</f>
        <v>42396</v>
      </c>
      <c r="D1946" s="819" t="s">
        <v>1479</v>
      </c>
      <c r="E1946" s="820">
        <v>42396</v>
      </c>
      <c r="F1946" s="925" t="s">
        <v>337</v>
      </c>
      <c r="G1946" s="822"/>
      <c r="H1946" s="926" t="s">
        <v>1480</v>
      </c>
      <c r="I1946" s="927">
        <v>24</v>
      </c>
      <c r="J1946" s="927">
        <v>40000</v>
      </c>
      <c r="K1946" s="868">
        <f t="shared" si="96"/>
        <v>960000</v>
      </c>
      <c r="L1946" s="875" t="s">
        <v>165</v>
      </c>
      <c r="M1946" s="875" t="s">
        <v>161</v>
      </c>
      <c r="N1946" s="52" t="str">
        <f>IF(AND('331-CT'!$E$7=TH!H1946,OR(L1946="331",M1946="331")),"331",IF(AND(OR(L1946="131",M1946="131"),H1946='131-CT'!$E$7),"131",""))</f>
        <v/>
      </c>
      <c r="O1946" s="857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928"/>
      <c r="AC1946" s="826"/>
      <c r="AD1946" s="826"/>
    </row>
    <row r="1947" spans="1:30" s="900" customFormat="1" ht="15.75" customHeight="1">
      <c r="A1947" s="895" t="str">
        <f>IF(B1947&lt;&gt;"",IF(AND(B1947&gt;=_TM1,B1947&lt;=_TM2,OR(TH!L1947="1111",TH!M1947="1111")),TH!D1947,""),"")</f>
        <v/>
      </c>
      <c r="B1947" s="896">
        <f t="shared" si="97"/>
        <v>1</v>
      </c>
      <c r="C1947" s="897">
        <f t="shared" si="98"/>
        <v>42399</v>
      </c>
      <c r="D1947" s="897" t="s">
        <v>1479</v>
      </c>
      <c r="E1947" s="869">
        <v>42399</v>
      </c>
      <c r="F1947" s="49" t="s">
        <v>844</v>
      </c>
      <c r="G1947" s="871"/>
      <c r="H1947" s="872" t="s">
        <v>1480</v>
      </c>
      <c r="I1947" s="923">
        <v>700</v>
      </c>
      <c r="J1947" s="923">
        <v>18181</v>
      </c>
      <c r="K1947" s="51">
        <f t="shared" ref="K1947:K1955" si="99">ROUND(I1947*J1947,0)</f>
        <v>12726700</v>
      </c>
      <c r="L1947" s="857" t="s">
        <v>165</v>
      </c>
      <c r="M1947" s="857" t="s">
        <v>161</v>
      </c>
      <c r="N1947" s="52" t="str">
        <f>IF(AND('331-CT'!$E$7=TH!H1947,OR(L1947="331",M1947="331")),"331",IF(AND(OR(L1947="131",M1947="131"),H1947='131-CT'!$E$7),"131",""))</f>
        <v/>
      </c>
      <c r="O1947" s="857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765"/>
      <c r="AC1947" s="899"/>
      <c r="AD1947" s="899"/>
    </row>
    <row r="1948" spans="1:30" s="900" customFormat="1" ht="15.75" customHeight="1">
      <c r="A1948" s="895" t="str">
        <f>IF(B1948&lt;&gt;"",IF(AND(B1948&gt;=_TM1,B1948&lt;=_TM2,OR(TH!L1948="1111",TH!M1948="1111")),TH!D1948,""),"")</f>
        <v/>
      </c>
      <c r="B1948" s="896">
        <f t="shared" si="97"/>
        <v>3</v>
      </c>
      <c r="C1948" s="897">
        <f t="shared" si="98"/>
        <v>42458</v>
      </c>
      <c r="D1948" s="897" t="s">
        <v>1479</v>
      </c>
      <c r="E1948" s="869">
        <v>42458</v>
      </c>
      <c r="F1948" s="49" t="s">
        <v>337</v>
      </c>
      <c r="G1948" s="871"/>
      <c r="H1948" s="872" t="s">
        <v>1480</v>
      </c>
      <c r="I1948" s="923">
        <v>48</v>
      </c>
      <c r="J1948" s="923">
        <v>41000</v>
      </c>
      <c r="K1948" s="51">
        <f t="shared" si="99"/>
        <v>1968000</v>
      </c>
      <c r="L1948" s="857" t="s">
        <v>165</v>
      </c>
      <c r="M1948" s="857" t="s">
        <v>161</v>
      </c>
      <c r="N1948" s="52" t="str">
        <f>IF(AND('331-CT'!$E$7=TH!H1948,OR(L1948="331",M1948="331")),"331",IF(AND(OR(L1948="131",M1948="131"),H1948='131-CT'!$E$7),"131",""))</f>
        <v/>
      </c>
      <c r="O1948" s="857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765"/>
      <c r="AC1948" s="899"/>
    </row>
    <row r="1949" spans="1:30" s="900" customFormat="1" ht="15.75" customHeight="1">
      <c r="A1949" s="895" t="str">
        <f>IF(B1949&lt;&gt;"",IF(AND(B1949&gt;=_TM1,B1949&lt;=_TM2,OR(TH!L1949="1111",TH!M1949="1111")),TH!D1949,""),"")</f>
        <v/>
      </c>
      <c r="B1949" s="896">
        <f t="shared" si="97"/>
        <v>5</v>
      </c>
      <c r="C1949" s="897">
        <f t="shared" si="98"/>
        <v>42517</v>
      </c>
      <c r="D1949" s="897" t="s">
        <v>1479</v>
      </c>
      <c r="E1949" s="869">
        <v>42517</v>
      </c>
      <c r="F1949" s="49" t="s">
        <v>337</v>
      </c>
      <c r="G1949" s="871"/>
      <c r="H1949" s="872" t="s">
        <v>1480</v>
      </c>
      <c r="I1949" s="923">
        <v>24</v>
      </c>
      <c r="J1949" s="923">
        <v>42000</v>
      </c>
      <c r="K1949" s="51">
        <f t="shared" si="99"/>
        <v>1008000</v>
      </c>
      <c r="L1949" s="857" t="s">
        <v>165</v>
      </c>
      <c r="M1949" s="857" t="s">
        <v>161</v>
      </c>
      <c r="N1949" s="52" t="str">
        <f>IF(AND('331-CT'!$E$7=TH!H1949,OR(L1949="331",M1949="331")),"331",IF(AND(OR(L1949="131",M1949="131"),H1949='131-CT'!$E$7),"131",""))</f>
        <v/>
      </c>
      <c r="O1949" s="857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154</v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765"/>
      <c r="AC1949" s="899"/>
      <c r="AD1949" s="899"/>
    </row>
    <row r="1950" spans="1:30" s="900" customFormat="1" ht="15.75" customHeight="1">
      <c r="A1950" s="895" t="str">
        <f>IF(B1950&lt;&gt;"",IF(AND(B1950&gt;=_TM1,B1950&lt;=_TM2,OR(TH!L1950="1111",TH!M1950="1111")),TH!D1950,""),"")</f>
        <v/>
      </c>
      <c r="B1950" s="896">
        <f t="shared" si="97"/>
        <v>6</v>
      </c>
      <c r="C1950" s="897">
        <f t="shared" si="98"/>
        <v>42527</v>
      </c>
      <c r="D1950" s="897" t="s">
        <v>1479</v>
      </c>
      <c r="E1950" s="869">
        <v>42527</v>
      </c>
      <c r="F1950" s="49" t="s">
        <v>844</v>
      </c>
      <c r="G1950" s="871"/>
      <c r="H1950" s="872" t="s">
        <v>1480</v>
      </c>
      <c r="I1950" s="923">
        <v>350</v>
      </c>
      <c r="J1950" s="923">
        <v>19545</v>
      </c>
      <c r="K1950" s="51">
        <f t="shared" si="99"/>
        <v>6840750</v>
      </c>
      <c r="L1950" s="857" t="s">
        <v>165</v>
      </c>
      <c r="M1950" s="857" t="s">
        <v>161</v>
      </c>
      <c r="N1950" s="52" t="str">
        <f>IF(AND('331-CT'!$E$7=TH!H1950,OR(L1950="331",M1950="331")),"331",IF(AND(OR(L1950="131",M1950="131"),H1950='131-CT'!$E$7),"131",""))</f>
        <v/>
      </c>
      <c r="O1950" s="857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154</v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765"/>
      <c r="AC1950" s="899"/>
    </row>
    <row r="1951" spans="1:30" s="900" customFormat="1" ht="15.75" customHeight="1">
      <c r="A1951" s="895" t="str">
        <f>IF(B1951&lt;&gt;"",IF(AND(B1951&gt;=_TM1,B1951&lt;=_TM2,OR(TH!L1951="1111",TH!M1951="1111")),TH!D1951,""),"")</f>
        <v/>
      </c>
      <c r="B1951" s="896">
        <f t="shared" si="97"/>
        <v>6</v>
      </c>
      <c r="C1951" s="897">
        <f t="shared" si="98"/>
        <v>42527</v>
      </c>
      <c r="D1951" s="897" t="s">
        <v>1479</v>
      </c>
      <c r="E1951" s="869">
        <v>42527</v>
      </c>
      <c r="F1951" s="49" t="s">
        <v>888</v>
      </c>
      <c r="G1951" s="871"/>
      <c r="H1951" s="872" t="s">
        <v>1480</v>
      </c>
      <c r="I1951" s="923">
        <v>400</v>
      </c>
      <c r="J1951" s="923">
        <v>18000</v>
      </c>
      <c r="K1951" s="51">
        <f t="shared" si="99"/>
        <v>7200000</v>
      </c>
      <c r="L1951" s="857" t="s">
        <v>165</v>
      </c>
      <c r="M1951" s="857" t="s">
        <v>161</v>
      </c>
      <c r="N1951" s="52" t="str">
        <f>IF(AND('331-CT'!$E$7=TH!H1951,OR(L1951="331",M1951="331")),"331",IF(AND(OR(L1951="131",M1951="131"),H1951='131-CT'!$E$7),"131",""))</f>
        <v/>
      </c>
      <c r="O1951" s="857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154</v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765"/>
      <c r="AC1951" s="899"/>
      <c r="AD1951" s="899"/>
    </row>
    <row r="1952" spans="1:30" s="900" customFormat="1" ht="15.75" customHeight="1">
      <c r="A1952" s="895" t="str">
        <f>IF(B1952&lt;&gt;"",IF(AND(B1952&gt;=_TM1,B1952&lt;=_TM2,OR(TH!L1952="1111",TH!M1952="1111")),TH!D1952,""),"")</f>
        <v/>
      </c>
      <c r="B1952" s="896">
        <f t="shared" si="97"/>
        <v>7</v>
      </c>
      <c r="C1952" s="897">
        <f t="shared" si="98"/>
        <v>42581</v>
      </c>
      <c r="D1952" s="897" t="s">
        <v>1479</v>
      </c>
      <c r="E1952" s="869">
        <v>42581</v>
      </c>
      <c r="F1952" s="49" t="s">
        <v>888</v>
      </c>
      <c r="G1952" s="871"/>
      <c r="H1952" s="872" t="s">
        <v>1480</v>
      </c>
      <c r="I1952" s="923">
        <v>200</v>
      </c>
      <c r="J1952" s="923">
        <v>19000</v>
      </c>
      <c r="K1952" s="51">
        <f t="shared" si="99"/>
        <v>3800000</v>
      </c>
      <c r="L1952" s="857" t="s">
        <v>165</v>
      </c>
      <c r="M1952" s="857" t="s">
        <v>161</v>
      </c>
      <c r="N1952" s="52" t="str">
        <f>IF(AND('331-CT'!$E$7=TH!H1952,OR(L1952="331",M1952="331")),"331",IF(AND(OR(L1952="131",M1952="131"),H1952='131-CT'!$E$7),"131",""))</f>
        <v/>
      </c>
      <c r="O1952" s="857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>x</v>
      </c>
      <c r="AB1952" s="765"/>
      <c r="AC1952" s="899"/>
      <c r="AD1952" s="899"/>
    </row>
    <row r="1953" spans="1:30" s="900" customFormat="1" ht="15.75" customHeight="1">
      <c r="A1953" s="895" t="str">
        <f>IF(B1953&lt;&gt;"",IF(AND(B1953&gt;=_TM1,B1953&lt;=_TM2,OR(TH!L1953="1111",TH!M1953="1111")),TH!D1953,""),"")</f>
        <v/>
      </c>
      <c r="B1953" s="896">
        <f t="shared" si="97"/>
        <v>10</v>
      </c>
      <c r="C1953" s="897">
        <f t="shared" si="98"/>
        <v>42644</v>
      </c>
      <c r="D1953" s="897" t="s">
        <v>1479</v>
      </c>
      <c r="E1953" s="869">
        <v>42644</v>
      </c>
      <c r="F1953" s="49" t="s">
        <v>888</v>
      </c>
      <c r="G1953" s="871"/>
      <c r="H1953" s="872" t="s">
        <v>1480</v>
      </c>
      <c r="I1953" s="923">
        <v>800</v>
      </c>
      <c r="J1953" s="923">
        <v>19000</v>
      </c>
      <c r="K1953" s="51">
        <f t="shared" si="99"/>
        <v>15200000</v>
      </c>
      <c r="L1953" s="857" t="s">
        <v>165</v>
      </c>
      <c r="M1953" s="857" t="s">
        <v>161</v>
      </c>
      <c r="N1953" s="52" t="str">
        <f>IF(AND('331-CT'!$E$7=TH!H1953,OR(L1953="331",M1953="331")),"331",IF(AND(OR(L1953="131",M1953="131"),H1953='131-CT'!$E$7),"131",""))</f>
        <v/>
      </c>
      <c r="O1953" s="857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765"/>
      <c r="AC1953" s="899"/>
    </row>
    <row r="1954" spans="1:30" s="900" customFormat="1" ht="15.75" customHeight="1">
      <c r="A1954" s="895" t="str">
        <f>IF(B1954&lt;&gt;"",IF(AND(B1954&gt;=_TM1,B1954&lt;=_TM2,OR(TH!L1954="1111",TH!M1954="1111")),TH!D1954,""),"")</f>
        <v/>
      </c>
      <c r="B1954" s="896">
        <f t="shared" si="97"/>
        <v>11</v>
      </c>
      <c r="C1954" s="897">
        <f t="shared" ref="C1954:C2013" si="100">E1954</f>
        <v>42689</v>
      </c>
      <c r="D1954" s="897" t="s">
        <v>1479</v>
      </c>
      <c r="E1954" s="869">
        <v>42689</v>
      </c>
      <c r="F1954" s="49" t="s">
        <v>888</v>
      </c>
      <c r="G1954" s="871"/>
      <c r="H1954" s="872" t="s">
        <v>1480</v>
      </c>
      <c r="I1954" s="923">
        <v>600</v>
      </c>
      <c r="J1954" s="923">
        <v>19000</v>
      </c>
      <c r="K1954" s="51">
        <f t="shared" si="99"/>
        <v>11400000</v>
      </c>
      <c r="L1954" s="857" t="s">
        <v>165</v>
      </c>
      <c r="M1954" s="857" t="s">
        <v>161</v>
      </c>
      <c r="N1954" s="52" t="str">
        <f>IF(AND('331-CT'!$E$7=TH!H1954,OR(L1954="331",M1954="331")),"331",IF(AND(OR(L1954="131",M1954="131"),H1954='131-CT'!$E$7),"131",""))</f>
        <v/>
      </c>
      <c r="O1954" s="857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765"/>
      <c r="AC1954" s="899"/>
      <c r="AD1954" s="899"/>
    </row>
    <row r="1955" spans="1:30" s="900" customFormat="1" ht="15.75" customHeight="1">
      <c r="A1955" s="895" t="str">
        <f>IF(B1955&lt;&gt;"",IF(AND(B1955&gt;=_TM1,B1955&lt;=_TM2,OR(TH!L1955="1111",TH!M1955="1111")),TH!D1955,""),"")</f>
        <v/>
      </c>
      <c r="B1955" s="896">
        <f t="shared" si="97"/>
        <v>10</v>
      </c>
      <c r="C1955" s="897">
        <f t="shared" si="100"/>
        <v>42644</v>
      </c>
      <c r="D1955" s="897" t="s">
        <v>1479</v>
      </c>
      <c r="E1955" s="869">
        <v>42644</v>
      </c>
      <c r="F1955" s="49" t="s">
        <v>844</v>
      </c>
      <c r="G1955" s="871"/>
      <c r="H1955" s="872" t="s">
        <v>1480</v>
      </c>
      <c r="I1955" s="923">
        <v>150</v>
      </c>
      <c r="J1955" s="923">
        <v>19545</v>
      </c>
      <c r="K1955" s="51">
        <f t="shared" si="99"/>
        <v>2931750</v>
      </c>
      <c r="L1955" s="857" t="s">
        <v>165</v>
      </c>
      <c r="M1955" s="857" t="s">
        <v>161</v>
      </c>
      <c r="N1955" s="52" t="str">
        <f>IF(AND('331-CT'!$E$7=TH!H1955,OR(L1955="331",M1955="331")),"331",IF(AND(OR(L1955="131",M1955="131"),H1955='131-CT'!$E$7),"131",""))</f>
        <v/>
      </c>
      <c r="O1955" s="857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765"/>
      <c r="AC1955" s="899"/>
    </row>
    <row r="1956" spans="1:30" s="827" customFormat="1" ht="15.75" customHeight="1">
      <c r="A1956" s="924" t="str">
        <f>IF(B1956&lt;&gt;"",IF(AND(B1956&gt;=_TM1,B1956&lt;=_TM2,OR(TH!L1956="1111",TH!M1956="1111")),TH!D1956,""),"")</f>
        <v/>
      </c>
      <c r="B1956" s="818">
        <f t="shared" si="97"/>
        <v>1</v>
      </c>
      <c r="C1956" s="819">
        <f t="shared" si="100"/>
        <v>42371</v>
      </c>
      <c r="D1956" s="819" t="s">
        <v>1476</v>
      </c>
      <c r="E1956" s="820">
        <v>42371</v>
      </c>
      <c r="F1956" s="925" t="s">
        <v>706</v>
      </c>
      <c r="G1956" s="822"/>
      <c r="H1956" s="926" t="s">
        <v>1480</v>
      </c>
      <c r="I1956" s="927">
        <v>5441</v>
      </c>
      <c r="J1956" s="927">
        <v>7300</v>
      </c>
      <c r="K1956" s="868">
        <f t="shared" ref="K1956" si="101">ROUND(I1956*J1956,0)</f>
        <v>39719300</v>
      </c>
      <c r="L1956" s="875" t="s">
        <v>165</v>
      </c>
      <c r="M1956" s="875" t="s">
        <v>159</v>
      </c>
      <c r="N1956" s="52" t="str">
        <f>IF(AND('331-CT'!$E$7=TH!H1956,OR(L1956="331",M1956="331")),"331",IF(AND(OR(L1956="131",M1956="131"),H1956='131-CT'!$E$7),"131",""))</f>
        <v/>
      </c>
      <c r="O1956" s="857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928"/>
      <c r="AC1956" s="826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7"/>
        <v>1</v>
      </c>
      <c r="C1957" s="184">
        <f t="shared" si="100"/>
        <v>42379</v>
      </c>
      <c r="D1957" s="184" t="s">
        <v>1476</v>
      </c>
      <c r="E1957" s="191">
        <v>42379</v>
      </c>
      <c r="F1957" s="40" t="s">
        <v>712</v>
      </c>
      <c r="G1957" s="456"/>
      <c r="H1957" s="193" t="s">
        <v>1480</v>
      </c>
      <c r="I1957" s="257">
        <v>12500</v>
      </c>
      <c r="J1957" s="257">
        <v>7600</v>
      </c>
      <c r="K1957" s="38">
        <f t="shared" ref="K1957:K2002" si="102">ROUND(I1957*J1957,0)</f>
        <v>95000000</v>
      </c>
      <c r="L1957" s="194" t="s">
        <v>165</v>
      </c>
      <c r="M1957" s="194" t="s">
        <v>159</v>
      </c>
      <c r="N1957" s="52" t="str">
        <f>IF(AND('331-CT'!$E$7=TH!H1957,OR(L1957="331",M1957="331")),"331",IF(AND(OR(L1957="131",M1957="131"),H1957='131-CT'!$E$7),"131",""))</f>
        <v/>
      </c>
      <c r="O1957" s="857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790"/>
      <c r="AC1957" s="557"/>
      <c r="AD1957" s="557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7"/>
        <v>2</v>
      </c>
      <c r="C1958" s="184">
        <f t="shared" si="100"/>
        <v>42419</v>
      </c>
      <c r="D1958" s="184" t="s">
        <v>1476</v>
      </c>
      <c r="E1958" s="191">
        <v>42419</v>
      </c>
      <c r="F1958" s="40" t="s">
        <v>706</v>
      </c>
      <c r="G1958" s="456"/>
      <c r="H1958" s="193" t="s">
        <v>1480</v>
      </c>
      <c r="I1958" s="257">
        <v>1510</v>
      </c>
      <c r="J1958" s="257">
        <v>7300</v>
      </c>
      <c r="K1958" s="38">
        <f t="shared" si="102"/>
        <v>11023000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57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790"/>
      <c r="AC1958" s="557"/>
      <c r="AD1958" s="557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7"/>
        <v>2</v>
      </c>
      <c r="C1959" s="184">
        <f t="shared" si="100"/>
        <v>42419</v>
      </c>
      <c r="D1959" s="184" t="s">
        <v>1476</v>
      </c>
      <c r="E1959" s="191">
        <v>42419</v>
      </c>
      <c r="F1959" s="40" t="s">
        <v>706</v>
      </c>
      <c r="G1959" s="456"/>
      <c r="H1959" s="193" t="s">
        <v>1480</v>
      </c>
      <c r="I1959" s="257">
        <v>940</v>
      </c>
      <c r="J1959" s="257">
        <v>7200</v>
      </c>
      <c r="K1959" s="38">
        <f t="shared" si="102"/>
        <v>6768000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57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790"/>
      <c r="AC1959" s="557"/>
      <c r="AD1959" s="557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7"/>
        <v>2</v>
      </c>
      <c r="C1960" s="184">
        <f t="shared" si="100"/>
        <v>42420</v>
      </c>
      <c r="D1960" s="184" t="s">
        <v>1476</v>
      </c>
      <c r="E1960" s="191">
        <v>42420</v>
      </c>
      <c r="F1960" s="40" t="s">
        <v>706</v>
      </c>
      <c r="G1960" s="456"/>
      <c r="H1960" s="193" t="s">
        <v>1480</v>
      </c>
      <c r="I1960" s="257">
        <v>2510</v>
      </c>
      <c r="J1960" s="257">
        <v>7200</v>
      </c>
      <c r="K1960" s="38">
        <f t="shared" si="102"/>
        <v>18072000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57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790"/>
      <c r="AC1960" s="557"/>
      <c r="AD1960" s="557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7"/>
        <v>2</v>
      </c>
      <c r="C1961" s="184">
        <f t="shared" si="100"/>
        <v>42422</v>
      </c>
      <c r="D1961" s="184" t="s">
        <v>1476</v>
      </c>
      <c r="E1961" s="191">
        <v>42422</v>
      </c>
      <c r="F1961" s="40" t="s">
        <v>712</v>
      </c>
      <c r="G1961" s="456"/>
      <c r="H1961" s="193" t="s">
        <v>1480</v>
      </c>
      <c r="I1961" s="257">
        <v>13067</v>
      </c>
      <c r="J1961" s="257">
        <v>7600</v>
      </c>
      <c r="K1961" s="38">
        <f t="shared" si="102"/>
        <v>99309200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57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790"/>
      <c r="AC1961" s="557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7"/>
        <v>2</v>
      </c>
      <c r="C1962" s="184">
        <f t="shared" si="100"/>
        <v>42423</v>
      </c>
      <c r="D1962" s="184" t="s">
        <v>1476</v>
      </c>
      <c r="E1962" s="191">
        <v>42423</v>
      </c>
      <c r="F1962" s="40" t="s">
        <v>706</v>
      </c>
      <c r="G1962" s="456"/>
      <c r="H1962" s="193" t="s">
        <v>1480</v>
      </c>
      <c r="I1962" s="257">
        <v>2510</v>
      </c>
      <c r="J1962" s="257">
        <v>7200</v>
      </c>
      <c r="K1962" s="38">
        <f t="shared" si="102"/>
        <v>18072000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57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790"/>
      <c r="AC1962" s="557"/>
      <c r="AD1962" s="557"/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7"/>
        <v>2</v>
      </c>
      <c r="C1963" s="184">
        <f t="shared" si="100"/>
        <v>42424</v>
      </c>
      <c r="D1963" s="184" t="s">
        <v>1476</v>
      </c>
      <c r="E1963" s="191">
        <v>42424</v>
      </c>
      <c r="F1963" s="40" t="s">
        <v>706</v>
      </c>
      <c r="G1963" s="456"/>
      <c r="H1963" s="193" t="s">
        <v>1480</v>
      </c>
      <c r="I1963" s="257">
        <v>2510</v>
      </c>
      <c r="J1963" s="257">
        <v>7200</v>
      </c>
      <c r="K1963" s="38">
        <f t="shared" si="102"/>
        <v>18072000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57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790"/>
      <c r="AC1963" s="557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97"/>
        <v>3</v>
      </c>
      <c r="C1964" s="184">
        <f t="shared" si="100"/>
        <v>42430</v>
      </c>
      <c r="D1964" s="184" t="s">
        <v>1476</v>
      </c>
      <c r="E1964" s="191">
        <v>42430</v>
      </c>
      <c r="F1964" s="40" t="s">
        <v>706</v>
      </c>
      <c r="G1964" s="456"/>
      <c r="H1964" s="193" t="s">
        <v>1480</v>
      </c>
      <c r="I1964" s="257">
        <v>2267</v>
      </c>
      <c r="J1964" s="257">
        <v>7200</v>
      </c>
      <c r="K1964" s="38">
        <f t="shared" si="102"/>
        <v>16322400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57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790"/>
      <c r="AC1964" s="557"/>
      <c r="AD1964" s="557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ref="B1965:B2025" si="103">IF(C1965&lt;&gt;"",MONTH(C1965),"")</f>
        <v>3</v>
      </c>
      <c r="C1965" s="184">
        <f t="shared" si="100"/>
        <v>42432</v>
      </c>
      <c r="D1965" s="184" t="s">
        <v>1476</v>
      </c>
      <c r="E1965" s="191">
        <v>42432</v>
      </c>
      <c r="F1965" s="40" t="s">
        <v>706</v>
      </c>
      <c r="G1965" s="456"/>
      <c r="H1965" s="193" t="s">
        <v>1480</v>
      </c>
      <c r="I1965" s="257">
        <v>2186</v>
      </c>
      <c r="J1965" s="257">
        <v>7200</v>
      </c>
      <c r="K1965" s="38">
        <f t="shared" si="102"/>
        <v>15739200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57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790"/>
      <c r="AC1965" s="557"/>
      <c r="AD1965" s="557"/>
    </row>
    <row r="1966" spans="1:30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103"/>
        <v>3</v>
      </c>
      <c r="C1966" s="184">
        <f t="shared" si="100"/>
        <v>42438</v>
      </c>
      <c r="D1966" s="184" t="s">
        <v>1476</v>
      </c>
      <c r="E1966" s="191">
        <v>42438</v>
      </c>
      <c r="F1966" s="40" t="s">
        <v>706</v>
      </c>
      <c r="G1966" s="456"/>
      <c r="H1966" s="193" t="s">
        <v>1480</v>
      </c>
      <c r="I1966" s="257">
        <v>2409</v>
      </c>
      <c r="J1966" s="257">
        <v>7200</v>
      </c>
      <c r="K1966" s="38">
        <f t="shared" si="102"/>
        <v>17344800</v>
      </c>
      <c r="L1966" s="194" t="s">
        <v>165</v>
      </c>
      <c r="M1966" s="194" t="s">
        <v>159</v>
      </c>
      <c r="N1966" s="52" t="str">
        <f>IF(AND('331-CT'!$E$7=TH!H1966,OR(L1966="331",M1966="331")),"331",IF(AND(OR(L1966="131",M1966="131"),H1966='131-CT'!$E$7),"131",""))</f>
        <v/>
      </c>
      <c r="O1966" s="857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790"/>
      <c r="AC1966" s="557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103"/>
        <v>3</v>
      </c>
      <c r="C1967" s="184">
        <f t="shared" si="100"/>
        <v>42439</v>
      </c>
      <c r="D1967" s="184" t="s">
        <v>1476</v>
      </c>
      <c r="E1967" s="191">
        <v>42439</v>
      </c>
      <c r="F1967" s="40" t="s">
        <v>712</v>
      </c>
      <c r="G1967" s="456"/>
      <c r="H1967" s="193" t="s">
        <v>1480</v>
      </c>
      <c r="I1967" s="257">
        <v>18000</v>
      </c>
      <c r="J1967" s="257">
        <v>8800</v>
      </c>
      <c r="K1967" s="38">
        <f t="shared" si="102"/>
        <v>158400000</v>
      </c>
      <c r="L1967" s="194" t="s">
        <v>165</v>
      </c>
      <c r="M1967" s="194" t="s">
        <v>159</v>
      </c>
      <c r="N1967" s="52" t="str">
        <f>IF(AND('331-CT'!$E$7=TH!H1967,OR(L1967="331",M1967="331")),"331",IF(AND(OR(L1967="131",M1967="131"),H1967='131-CT'!$E$7),"131",""))</f>
        <v/>
      </c>
      <c r="O1967" s="857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790"/>
      <c r="AC1967" s="557"/>
      <c r="AD1967" s="557"/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103"/>
        <v>3</v>
      </c>
      <c r="C1968" s="184">
        <f t="shared" si="100"/>
        <v>42440</v>
      </c>
      <c r="D1968" s="184" t="s">
        <v>1476</v>
      </c>
      <c r="E1968" s="191">
        <v>42440</v>
      </c>
      <c r="F1968" s="40" t="s">
        <v>706</v>
      </c>
      <c r="G1968" s="456"/>
      <c r="H1968" s="193" t="s">
        <v>1480</v>
      </c>
      <c r="I1968" s="257">
        <v>2428</v>
      </c>
      <c r="J1968" s="257">
        <v>7200</v>
      </c>
      <c r="K1968" s="38">
        <f t="shared" si="102"/>
        <v>17481600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57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790"/>
      <c r="AC1968" s="557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103"/>
        <v>3</v>
      </c>
      <c r="C1969" s="184">
        <f t="shared" si="100"/>
        <v>42441</v>
      </c>
      <c r="D1969" s="184" t="s">
        <v>1476</v>
      </c>
      <c r="E1969" s="191">
        <v>42441</v>
      </c>
      <c r="F1969" s="40" t="s">
        <v>706</v>
      </c>
      <c r="G1969" s="456"/>
      <c r="H1969" s="193" t="s">
        <v>1480</v>
      </c>
      <c r="I1969" s="257">
        <v>2260</v>
      </c>
      <c r="J1969" s="257">
        <v>7200</v>
      </c>
      <c r="K1969" s="38">
        <f t="shared" si="102"/>
        <v>16272000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57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790"/>
      <c r="AC1969" s="557"/>
      <c r="AD1969" s="557"/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03"/>
        <v>3</v>
      </c>
      <c r="C1970" s="184">
        <f t="shared" si="100"/>
        <v>42443</v>
      </c>
      <c r="D1970" s="184" t="s">
        <v>1476</v>
      </c>
      <c r="E1970" s="191">
        <v>42443</v>
      </c>
      <c r="F1970" s="40" t="s">
        <v>706</v>
      </c>
      <c r="G1970" s="456"/>
      <c r="H1970" s="193" t="s">
        <v>1480</v>
      </c>
      <c r="I1970" s="257">
        <v>1923</v>
      </c>
      <c r="J1970" s="257">
        <v>7200</v>
      </c>
      <c r="K1970" s="38">
        <f t="shared" si="102"/>
        <v>13845600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57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790"/>
      <c r="AC1970" s="557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03"/>
        <v>3</v>
      </c>
      <c r="C1971" s="184">
        <f t="shared" si="100"/>
        <v>42444</v>
      </c>
      <c r="D1971" s="184" t="s">
        <v>1476</v>
      </c>
      <c r="E1971" s="191">
        <v>42444</v>
      </c>
      <c r="F1971" s="40" t="s">
        <v>706</v>
      </c>
      <c r="G1971" s="456"/>
      <c r="H1971" s="193" t="s">
        <v>1480</v>
      </c>
      <c r="I1971" s="257">
        <v>2406</v>
      </c>
      <c r="J1971" s="257">
        <v>7200</v>
      </c>
      <c r="K1971" s="38">
        <f t="shared" si="102"/>
        <v>17323200</v>
      </c>
      <c r="L1971" s="194" t="s">
        <v>165</v>
      </c>
      <c r="M1971" s="194" t="s">
        <v>159</v>
      </c>
      <c r="N1971" s="52" t="str">
        <f>IF(AND('331-CT'!$E$7=TH!H1971,OR(L1971="331",M1971="331")),"331",IF(AND(OR(L1971="131",M1971="131"),H1971='131-CT'!$E$7),"131",""))</f>
        <v/>
      </c>
      <c r="O1971" s="857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790"/>
      <c r="AC1971" s="557"/>
      <c r="AD1971" s="557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03"/>
        <v>3</v>
      </c>
      <c r="C1972" s="184">
        <f t="shared" si="100"/>
        <v>42445</v>
      </c>
      <c r="D1972" s="184" t="s">
        <v>1476</v>
      </c>
      <c r="E1972" s="191">
        <v>42445</v>
      </c>
      <c r="F1972" s="40" t="s">
        <v>712</v>
      </c>
      <c r="G1972" s="456"/>
      <c r="H1972" s="193" t="s">
        <v>1480</v>
      </c>
      <c r="I1972" s="257">
        <v>21846</v>
      </c>
      <c r="J1972" s="257">
        <v>8800</v>
      </c>
      <c r="K1972" s="38">
        <f t="shared" si="102"/>
        <v>192244800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57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790"/>
      <c r="AC1972" s="557"/>
      <c r="AD1972" s="557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03"/>
        <v>3</v>
      </c>
      <c r="C1973" s="184">
        <f t="shared" si="100"/>
        <v>42455</v>
      </c>
      <c r="D1973" s="184" t="s">
        <v>1476</v>
      </c>
      <c r="E1973" s="191">
        <v>42455</v>
      </c>
      <c r="F1973" s="40" t="s">
        <v>706</v>
      </c>
      <c r="G1973" s="456"/>
      <c r="H1973" s="193" t="s">
        <v>1480</v>
      </c>
      <c r="I1973" s="257">
        <v>1603</v>
      </c>
      <c r="J1973" s="257">
        <v>7200</v>
      </c>
      <c r="K1973" s="38">
        <f t="shared" si="102"/>
        <v>11541600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57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790"/>
      <c r="AC1973" s="557"/>
      <c r="AD1973" s="557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ref="B1974:B1975" si="104">IF(C1974&lt;&gt;"",MONTH(C1974),"")</f>
        <v>3</v>
      </c>
      <c r="C1974" s="184">
        <f t="shared" ref="C1974:C1975" si="105">E1974</f>
        <v>42430</v>
      </c>
      <c r="D1974" s="184" t="s">
        <v>1476</v>
      </c>
      <c r="E1974" s="191">
        <v>42430</v>
      </c>
      <c r="F1974" s="40" t="s">
        <v>710</v>
      </c>
      <c r="G1974" s="456"/>
      <c r="H1974" s="193" t="s">
        <v>1480</v>
      </c>
      <c r="I1974" s="257">
        <v>2295</v>
      </c>
      <c r="J1974" s="257">
        <v>9000</v>
      </c>
      <c r="K1974" s="38">
        <f t="shared" ref="K1974:K1975" si="106">ROUND(I1974*J1974,0)</f>
        <v>20655000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57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790"/>
      <c r="AC1974" s="557"/>
      <c r="AD1974" s="557"/>
    </row>
    <row r="1975" spans="1:30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04"/>
        <v>3</v>
      </c>
      <c r="C1975" s="184">
        <f t="shared" si="105"/>
        <v>42445</v>
      </c>
      <c r="D1975" s="184" t="s">
        <v>1476</v>
      </c>
      <c r="E1975" s="191">
        <v>42445</v>
      </c>
      <c r="F1975" s="40" t="s">
        <v>706</v>
      </c>
      <c r="G1975" s="456"/>
      <c r="H1975" s="193" t="s">
        <v>1480</v>
      </c>
      <c r="I1975" s="257">
        <v>6902</v>
      </c>
      <c r="J1975" s="257">
        <v>7200</v>
      </c>
      <c r="K1975" s="38">
        <f t="shared" si="106"/>
        <v>49694400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57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790"/>
      <c r="AC1975" s="557"/>
      <c r="AD1975" s="557"/>
    </row>
    <row r="1976" spans="1:30" s="827" customFormat="1" ht="15.75" customHeight="1">
      <c r="A1976" s="924" t="str">
        <f>IF(B1976&lt;&gt;"",IF(AND(B1976&gt;=_TM1,B1976&lt;=_TM2,OR(TH!L1976="1111",TH!M1976="1111")),TH!D1976,""),"")</f>
        <v/>
      </c>
      <c r="B1976" s="818">
        <f t="shared" si="103"/>
        <v>4</v>
      </c>
      <c r="C1976" s="819">
        <f t="shared" si="100"/>
        <v>42461</v>
      </c>
      <c r="D1976" s="819" t="s">
        <v>1476</v>
      </c>
      <c r="E1976" s="820">
        <v>42461</v>
      </c>
      <c r="F1976" s="925" t="s">
        <v>853</v>
      </c>
      <c r="G1976" s="822"/>
      <c r="H1976" s="926" t="s">
        <v>1480</v>
      </c>
      <c r="I1976" s="927">
        <v>300</v>
      </c>
      <c r="J1976" s="927">
        <v>9893</v>
      </c>
      <c r="K1976" s="868">
        <f t="shared" si="102"/>
        <v>2967900</v>
      </c>
      <c r="L1976" s="875" t="s">
        <v>165</v>
      </c>
      <c r="M1976" s="875" t="s">
        <v>159</v>
      </c>
      <c r="N1976" s="932" t="str">
        <f>IF(AND('331-CT'!$E$7=TH!H1976,OR(L1976="331",M1976="331")),"331",IF(AND(OR(L1976="131",M1976="131"),H1976='131-CT'!$E$7),"131",""))</f>
        <v/>
      </c>
      <c r="O1976" s="875" t="str">
        <f>IF(AND('341-CT'!$E$9=H1976,OR(LEFT(L1976,3)=$O$7,LEFT(M1976,3)=$O$7)),"x","")</f>
        <v/>
      </c>
      <c r="P1976" s="932" t="str">
        <f>IF(AND($B1976&gt;='111'!$N$11,$B1976&lt;='111'!$O$11,OR($L1976=$P$7,$M1976=$P$7)),"x","")</f>
        <v/>
      </c>
      <c r="Q1976" s="932" t="str">
        <f>IF(AND($L1976=$P$7,$B1976&lt;'111'!$N$11),"x","")</f>
        <v/>
      </c>
      <c r="R1976" s="932" t="str">
        <f>IF(AND($M1976=$P$7,$B1976&lt;'111'!$N$11),"x","")</f>
        <v/>
      </c>
      <c r="S1976" s="932" t="str">
        <f>IF(ISERROR(FIND('112'!$M$9,G1976,1)),"",IF((AND(FIND('112'!$M$9,G1976,1)&gt;=1,$B1976&gt;='112'!$N$8,$B1976&lt;='112'!$O$8,OR($L1976='112'!$I$6,$M1976='112'!$I$6))),"x",""))</f>
        <v/>
      </c>
      <c r="T1976" s="932" t="str">
        <f>IF(ISERROR(FIND('112'!$M$9,G1976,1)),"",IF((AND(LEFT(G1976,2)=LEFT('112'!$M$9,2),B1976&lt;'112'!$N$8,$L1976='112'!$I$6)),"x",""))</f>
        <v/>
      </c>
      <c r="U1976" s="932" t="str">
        <f>IF(ISERROR(FIND('112'!$M$9,G1976,1)),"",IF((AND(RIGHT(G1976,2)=RIGHT('112'!$M$9,2),B1976&lt;'112'!$N$8,$M1976='112'!$I$6)),"x",""))</f>
        <v/>
      </c>
      <c r="V1976" s="93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154</v>
      </c>
      <c r="W1976" s="932" t="str">
        <f>IF(OR(TH!L1976=TH!$W$7,M1976=TH!$W$7),"x","")</f>
        <v/>
      </c>
      <c r="X1976" s="932" t="str">
        <f>IF(AND(B1976&gt;='IN-NX'!$P$3,B1976&lt;='IN-NX'!$Q$3,'IN-NX'!$D$7=D1976,OR(LEFT(L1976,2)="15",AND(LEFT(M1976,2)&lt;&gt;"15",LEFT(M1976,2)&lt;&gt;"33"))),"x","")</f>
        <v/>
      </c>
      <c r="Y1976" s="932" t="str">
        <f>IF(AND(OR(LEFT(TH!L1976,2)="15",LEFT(TH!M1976,2)="15"),'152-CT'!$J$8=TH!F1976),"x","")</f>
        <v/>
      </c>
      <c r="Z1976" s="932" t="str">
        <f>IF(AND(OR(LEFT(TH!L1976,2)="15",LEFT(TH!M1976,2)="15"),TK!$E$7=TH!F1976),"x","")</f>
        <v/>
      </c>
      <c r="AA1976" s="932" t="str">
        <f>IF(AND(B1976&lt;=NKC!$N$8,B1976&gt;=NKC!$M$8),"x","")</f>
        <v/>
      </c>
      <c r="AB1976" s="928"/>
      <c r="AC1976" s="826"/>
      <c r="AD1976" s="826"/>
    </row>
    <row r="1977" spans="1:30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103"/>
        <v>4</v>
      </c>
      <c r="C1977" s="184">
        <f t="shared" si="100"/>
        <v>42461</v>
      </c>
      <c r="D1977" s="184" t="s">
        <v>1476</v>
      </c>
      <c r="E1977" s="191">
        <v>42461</v>
      </c>
      <c r="F1977" s="40" t="s">
        <v>856</v>
      </c>
      <c r="G1977" s="456"/>
      <c r="H1977" s="193" t="s">
        <v>1480</v>
      </c>
      <c r="I1977" s="257">
        <v>640</v>
      </c>
      <c r="J1977" s="257">
        <v>9207</v>
      </c>
      <c r="K1977" s="38">
        <f t="shared" si="102"/>
        <v>5892480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57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154</v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790"/>
      <c r="AC1977" s="557"/>
      <c r="AD1977" s="557"/>
    </row>
    <row r="1978" spans="1:30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03"/>
        <v>5</v>
      </c>
      <c r="C1978" s="184">
        <f t="shared" si="100"/>
        <v>42495</v>
      </c>
      <c r="D1978" s="184" t="s">
        <v>1476</v>
      </c>
      <c r="E1978" s="191">
        <v>42495</v>
      </c>
      <c r="F1978" s="40" t="s">
        <v>706</v>
      </c>
      <c r="G1978" s="456"/>
      <c r="H1978" s="193" t="s">
        <v>1480</v>
      </c>
      <c r="I1978" s="257">
        <v>6595</v>
      </c>
      <c r="J1978" s="257">
        <v>7600</v>
      </c>
      <c r="K1978" s="38">
        <f t="shared" si="102"/>
        <v>50122000</v>
      </c>
      <c r="L1978" s="194" t="s">
        <v>165</v>
      </c>
      <c r="M1978" s="194" t="s">
        <v>159</v>
      </c>
      <c r="N1978" s="52" t="str">
        <f>IF(AND('331-CT'!$E$7=TH!H1978,OR(L1978="331",M1978="331")),"331",IF(AND(OR(L1978="131",M1978="131"),H1978='131-CT'!$E$7),"131",""))</f>
        <v/>
      </c>
      <c r="O1978" s="857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154</v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790"/>
      <c r="AC1978" s="557"/>
      <c r="AD1978" s="557"/>
    </row>
    <row r="1979" spans="1:30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03"/>
        <v>4</v>
      </c>
      <c r="C1979" s="184">
        <f t="shared" si="100"/>
        <v>42461</v>
      </c>
      <c r="D1979" s="184" t="s">
        <v>1476</v>
      </c>
      <c r="E1979" s="191">
        <v>42461</v>
      </c>
      <c r="F1979" s="40" t="s">
        <v>720</v>
      </c>
      <c r="G1979" s="456"/>
      <c r="H1979" s="193" t="s">
        <v>1480</v>
      </c>
      <c r="I1979" s="257">
        <v>18441</v>
      </c>
      <c r="J1979" s="257">
        <v>8600</v>
      </c>
      <c r="K1979" s="38">
        <f t="shared" si="102"/>
        <v>158592600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57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154</v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790"/>
      <c r="AC1979" s="557"/>
      <c r="AD1979" s="557"/>
    </row>
    <row r="1980" spans="1:30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03"/>
        <v>4</v>
      </c>
      <c r="C1980" s="184">
        <f t="shared" si="100"/>
        <v>42464</v>
      </c>
      <c r="D1980" s="184" t="s">
        <v>1476</v>
      </c>
      <c r="E1980" s="191">
        <v>42464</v>
      </c>
      <c r="F1980" s="40" t="s">
        <v>710</v>
      </c>
      <c r="G1980" s="456"/>
      <c r="H1980" s="193" t="s">
        <v>1480</v>
      </c>
      <c r="I1980" s="257">
        <v>7293</v>
      </c>
      <c r="J1980" s="257">
        <v>9000</v>
      </c>
      <c r="K1980" s="38">
        <f t="shared" si="102"/>
        <v>65637000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57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154</v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790"/>
      <c r="AC1980" s="557"/>
      <c r="AD1980" s="557"/>
    </row>
    <row r="1981" spans="1:30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03"/>
        <v>5</v>
      </c>
      <c r="C1981" s="184">
        <f t="shared" si="100"/>
        <v>42497</v>
      </c>
      <c r="D1981" s="184" t="s">
        <v>1476</v>
      </c>
      <c r="E1981" s="191">
        <v>42497</v>
      </c>
      <c r="F1981" s="40" t="s">
        <v>720</v>
      </c>
      <c r="G1981" s="456"/>
      <c r="H1981" s="193" t="s">
        <v>1480</v>
      </c>
      <c r="I1981" s="257">
        <v>1800</v>
      </c>
      <c r="J1981" s="257">
        <v>7200</v>
      </c>
      <c r="K1981" s="38">
        <f t="shared" si="102"/>
        <v>12960000</v>
      </c>
      <c r="L1981" s="194" t="s">
        <v>165</v>
      </c>
      <c r="M1981" s="194" t="s">
        <v>159</v>
      </c>
      <c r="N1981" s="52" t="str">
        <f>IF(AND('331-CT'!$E$7=TH!H1981,OR(L1981="331",M1981="331")),"331",IF(AND(OR(L1981="131",M1981="131"),H1981='131-CT'!$E$7),"131",""))</f>
        <v/>
      </c>
      <c r="O1981" s="857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154</v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790"/>
      <c r="AC1981" s="557"/>
    </row>
    <row r="1982" spans="1:30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103"/>
        <v>5</v>
      </c>
      <c r="C1982" s="184">
        <f t="shared" si="100"/>
        <v>42497</v>
      </c>
      <c r="D1982" s="184" t="s">
        <v>1476</v>
      </c>
      <c r="E1982" s="191">
        <v>42497</v>
      </c>
      <c r="F1982" s="40" t="s">
        <v>720</v>
      </c>
      <c r="G1982" s="456"/>
      <c r="H1982" s="193" t="s">
        <v>1480</v>
      </c>
      <c r="I1982" s="257">
        <v>2033</v>
      </c>
      <c r="J1982" s="257">
        <v>7200</v>
      </c>
      <c r="K1982" s="38">
        <f t="shared" si="102"/>
        <v>14637600</v>
      </c>
      <c r="L1982" s="194" t="s">
        <v>165</v>
      </c>
      <c r="M1982" s="194" t="s">
        <v>159</v>
      </c>
      <c r="N1982" s="52" t="str">
        <f>IF(AND('331-CT'!$E$7=TH!H1982,OR(L1982="331",M1982="331")),"331",IF(AND(OR(L1982="131",M1982="131"),H1982='131-CT'!$E$7),"131",""))</f>
        <v/>
      </c>
      <c r="O1982" s="857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154</v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790"/>
      <c r="AC1982" s="557"/>
      <c r="AD1982" s="557"/>
    </row>
    <row r="1983" spans="1:30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103"/>
        <v>6</v>
      </c>
      <c r="C1983" s="184">
        <f t="shared" si="100"/>
        <v>42535</v>
      </c>
      <c r="D1983" s="184" t="s">
        <v>1476</v>
      </c>
      <c r="E1983" s="191">
        <v>42535</v>
      </c>
      <c r="F1983" s="40" t="s">
        <v>712</v>
      </c>
      <c r="G1983" s="456"/>
      <c r="H1983" s="193" t="s">
        <v>1480</v>
      </c>
      <c r="I1983" s="257">
        <v>33077</v>
      </c>
      <c r="J1983" s="257">
        <v>8200</v>
      </c>
      <c r="K1983" s="38">
        <f t="shared" si="102"/>
        <v>271231400</v>
      </c>
      <c r="L1983" s="194" t="s">
        <v>165</v>
      </c>
      <c r="M1983" s="194" t="s">
        <v>159</v>
      </c>
      <c r="N1983" s="52" t="str">
        <f>IF(AND('331-CT'!$E$7=TH!H1983,OR(L1983="331",M1983="331")),"331",IF(AND(OR(L1983="131",M1983="131"),H1983='131-CT'!$E$7),"131",""))</f>
        <v/>
      </c>
      <c r="O1983" s="857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154</v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790"/>
      <c r="AC1983" s="557"/>
      <c r="AD1983" s="557"/>
    </row>
    <row r="1984" spans="1:30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03"/>
        <v>6</v>
      </c>
      <c r="C1984" s="184">
        <f t="shared" si="100"/>
        <v>42535</v>
      </c>
      <c r="D1984" s="184" t="s">
        <v>1476</v>
      </c>
      <c r="E1984" s="726">
        <v>42535</v>
      </c>
      <c r="F1984" s="40" t="s">
        <v>710</v>
      </c>
      <c r="G1984" s="456"/>
      <c r="H1984" s="193" t="s">
        <v>1480</v>
      </c>
      <c r="I1984" s="257">
        <v>5201</v>
      </c>
      <c r="J1984" s="257">
        <v>9000</v>
      </c>
      <c r="K1984" s="38">
        <f t="shared" si="102"/>
        <v>46809000</v>
      </c>
      <c r="L1984" s="194" t="s">
        <v>165</v>
      </c>
      <c r="M1984" s="194" t="s">
        <v>159</v>
      </c>
      <c r="N1984" s="52" t="str">
        <f>IF(AND('331-CT'!$E$7=TH!H1984,OR(L1984="331",M1984="331")),"331",IF(AND(OR(L1984="131",M1984="131"),H1984='131-CT'!$E$7),"131",""))</f>
        <v/>
      </c>
      <c r="O1984" s="857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154</v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790"/>
      <c r="AC1984" s="557"/>
    </row>
    <row r="1985" spans="1:30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03"/>
        <v>6</v>
      </c>
      <c r="C1985" s="184">
        <f t="shared" si="100"/>
        <v>42522</v>
      </c>
      <c r="D1985" s="184" t="s">
        <v>1476</v>
      </c>
      <c r="E1985" s="726">
        <v>42522</v>
      </c>
      <c r="F1985" s="40" t="s">
        <v>706</v>
      </c>
      <c r="G1985" s="456"/>
      <c r="H1985" s="193" t="s">
        <v>1480</v>
      </c>
      <c r="I1985" s="257">
        <v>5000</v>
      </c>
      <c r="J1985" s="257">
        <v>7600</v>
      </c>
      <c r="K1985" s="38">
        <f t="shared" si="102"/>
        <v>38000000</v>
      </c>
      <c r="L1985" s="194" t="s">
        <v>165</v>
      </c>
      <c r="M1985" s="194" t="s">
        <v>159</v>
      </c>
      <c r="N1985" s="52" t="str">
        <f>IF(AND('331-CT'!$E$7=TH!H1985,OR(L1985="331",M1985="331")),"331",IF(AND(OR(L1985="131",M1985="131"),H1985='131-CT'!$E$7),"131",""))</f>
        <v/>
      </c>
      <c r="O1985" s="857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154</v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790"/>
      <c r="AC1985" s="557"/>
      <c r="AD1985" s="557"/>
    </row>
    <row r="1986" spans="1:30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ref="B1986:B1987" si="107">IF(C1986&lt;&gt;"",MONTH(C1986),"")</f>
        <v>7</v>
      </c>
      <c r="C1986" s="184">
        <f t="shared" ref="C1986:C1987" si="108">E1986</f>
        <v>42552</v>
      </c>
      <c r="D1986" s="184" t="s">
        <v>1476</v>
      </c>
      <c r="E1986" s="726">
        <v>42552</v>
      </c>
      <c r="F1986" s="40" t="s">
        <v>710</v>
      </c>
      <c r="G1986" s="456"/>
      <c r="H1986" s="193" t="s">
        <v>1480</v>
      </c>
      <c r="I1986" s="257">
        <v>7200</v>
      </c>
      <c r="J1986" s="257">
        <v>9000</v>
      </c>
      <c r="K1986" s="38">
        <f t="shared" ref="K1986:K1987" si="109">ROUND(I1986*J1986,0)</f>
        <v>64800000</v>
      </c>
      <c r="L1986" s="194" t="s">
        <v>165</v>
      </c>
      <c r="M1986" s="194" t="s">
        <v>159</v>
      </c>
      <c r="N1986" s="52" t="str">
        <f>IF(AND('331-CT'!$E$7=TH!H1986,OR(L1986="331",M1986="331")),"331",IF(AND(OR(L1986="131",M1986="131"),H1986='131-CT'!$E$7),"131",""))</f>
        <v/>
      </c>
      <c r="O1986" s="857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>x</v>
      </c>
      <c r="AB1986" s="790"/>
      <c r="AC1986" s="557"/>
    </row>
    <row r="1987" spans="1:30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07"/>
        <v>9</v>
      </c>
      <c r="C1987" s="184">
        <f t="shared" si="108"/>
        <v>42614</v>
      </c>
      <c r="D1987" s="184" t="s">
        <v>1476</v>
      </c>
      <c r="E1987" s="726">
        <v>42614</v>
      </c>
      <c r="F1987" s="40" t="s">
        <v>706</v>
      </c>
      <c r="G1987" s="456"/>
      <c r="H1987" s="193" t="s">
        <v>1480</v>
      </c>
      <c r="I1987" s="257">
        <v>3306</v>
      </c>
      <c r="J1987" s="257">
        <v>7600</v>
      </c>
      <c r="K1987" s="38">
        <f t="shared" si="109"/>
        <v>25125600</v>
      </c>
      <c r="L1987" s="194" t="s">
        <v>165</v>
      </c>
      <c r="M1987" s="194" t="s">
        <v>159</v>
      </c>
      <c r="N1987" s="52" t="str">
        <f>IF(AND('331-CT'!$E$7=TH!H1987,OR(L1987="331",M1987="331")),"331",IF(AND(OR(L1987="131",M1987="131"),H1987='131-CT'!$E$7),"131",""))</f>
        <v/>
      </c>
      <c r="O1987" s="857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>x</v>
      </c>
      <c r="AB1987" s="790"/>
      <c r="AC1987" s="557"/>
      <c r="AD1987" s="557"/>
    </row>
    <row r="1988" spans="1:30" s="827" customFormat="1" ht="15.75" customHeight="1">
      <c r="A1988" s="924" t="str">
        <f>IF(B1988&lt;&gt;"",IF(AND(B1988&gt;=_TM1,B1988&lt;=_TM2,OR(TH!L1988="1111",TH!M1988="1111")),TH!D1988,""),"")</f>
        <v/>
      </c>
      <c r="B1988" s="818">
        <f t="shared" si="103"/>
        <v>10</v>
      </c>
      <c r="C1988" s="819">
        <f t="shared" si="100"/>
        <v>42644</v>
      </c>
      <c r="D1988" s="819" t="s">
        <v>1476</v>
      </c>
      <c r="E1988" s="820">
        <v>42644</v>
      </c>
      <c r="F1988" s="925" t="s">
        <v>706</v>
      </c>
      <c r="G1988" s="822"/>
      <c r="H1988" s="926" t="s">
        <v>1480</v>
      </c>
      <c r="I1988" s="927">
        <v>7969</v>
      </c>
      <c r="J1988" s="927">
        <v>7600</v>
      </c>
      <c r="K1988" s="868">
        <f t="shared" si="102"/>
        <v>60564400</v>
      </c>
      <c r="L1988" s="875" t="s">
        <v>165</v>
      </c>
      <c r="M1988" s="875" t="s">
        <v>159</v>
      </c>
      <c r="N1988" s="932" t="str">
        <f>IF(AND('331-CT'!$E$7=TH!H1988,OR(L1988="331",M1988="331")),"331",IF(AND(OR(L1988="131",M1988="131"),H1988='131-CT'!$E$7),"131",""))</f>
        <v/>
      </c>
      <c r="O1988" s="875" t="str">
        <f>IF(AND('341-CT'!$E$9=H1988,OR(LEFT(L1988,3)=$O$7,LEFT(M1988,3)=$O$7)),"x","")</f>
        <v/>
      </c>
      <c r="P1988" s="932" t="str">
        <f>IF(AND($B1988&gt;='111'!$N$11,$B1988&lt;='111'!$O$11,OR($L1988=$P$7,$M1988=$P$7)),"x","")</f>
        <v/>
      </c>
      <c r="Q1988" s="932" t="str">
        <f>IF(AND($L1988=$P$7,$B1988&lt;'111'!$N$11),"x","")</f>
        <v/>
      </c>
      <c r="R1988" s="932" t="str">
        <f>IF(AND($M1988=$P$7,$B1988&lt;'111'!$N$11),"x","")</f>
        <v/>
      </c>
      <c r="S1988" s="932" t="str">
        <f>IF(ISERROR(FIND('112'!$M$9,G1988,1)),"",IF((AND(FIND('112'!$M$9,G1988,1)&gt;=1,$B1988&gt;='112'!$N$8,$B1988&lt;='112'!$O$8,OR($L1988='112'!$I$6,$M1988='112'!$I$6))),"x",""))</f>
        <v/>
      </c>
      <c r="T1988" s="932" t="str">
        <f>IF(ISERROR(FIND('112'!$M$9,G1988,1)),"",IF((AND(LEFT(G1988,2)=LEFT('112'!$M$9,2),B1988&lt;'112'!$N$8,$L1988='112'!$I$6)),"x",""))</f>
        <v/>
      </c>
      <c r="U1988" s="932" t="str">
        <f>IF(ISERROR(FIND('112'!$M$9,G1988,1)),"",IF((AND(RIGHT(G1988,2)=RIGHT('112'!$M$9,2),B1988&lt;'112'!$N$8,$M1988='112'!$I$6)),"x",""))</f>
        <v/>
      </c>
      <c r="V1988" s="93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932" t="str">
        <f>IF(OR(TH!L1988=TH!$W$7,M1988=TH!$W$7),"x","")</f>
        <v/>
      </c>
      <c r="X1988" s="932" t="str">
        <f>IF(AND(B1988&gt;='IN-NX'!$P$3,B1988&lt;='IN-NX'!$Q$3,'IN-NX'!$D$7=D1988,OR(LEFT(L1988,2)="15",AND(LEFT(M1988,2)&lt;&gt;"15",LEFT(M1988,2)&lt;&gt;"33"))),"x","")</f>
        <v/>
      </c>
      <c r="Y1988" s="932" t="str">
        <f>IF(AND(OR(LEFT(TH!L1988,2)="15",LEFT(TH!M1988,2)="15"),'152-CT'!$J$8=TH!F1988),"x","")</f>
        <v/>
      </c>
      <c r="Z1988" s="932" t="str">
        <f>IF(AND(OR(LEFT(TH!L1988,2)="15",LEFT(TH!M1988,2)="15"),TK!$E$7=TH!F1988),"x","")</f>
        <v/>
      </c>
      <c r="AA1988" s="932" t="str">
        <f>IF(AND(B1988&lt;=NKC!$N$8,B1988&gt;=NKC!$M$8),"x","")</f>
        <v/>
      </c>
      <c r="AB1988" s="928"/>
      <c r="AC1988" s="826"/>
      <c r="AD1988" s="826"/>
    </row>
    <row r="1989" spans="1:30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03"/>
        <v>10</v>
      </c>
      <c r="C1989" s="184">
        <f t="shared" si="100"/>
        <v>42648</v>
      </c>
      <c r="D1989" s="184" t="s">
        <v>1476</v>
      </c>
      <c r="E1989" s="191">
        <v>42648</v>
      </c>
      <c r="F1989" s="40" t="s">
        <v>706</v>
      </c>
      <c r="G1989" s="456"/>
      <c r="H1989" s="193" t="s">
        <v>1480</v>
      </c>
      <c r="I1989" s="257">
        <v>10100</v>
      </c>
      <c r="J1989" s="257">
        <v>7300</v>
      </c>
      <c r="K1989" s="38">
        <f t="shared" si="102"/>
        <v>73730000</v>
      </c>
      <c r="L1989" s="194" t="s">
        <v>165</v>
      </c>
      <c r="M1989" s="194" t="s">
        <v>159</v>
      </c>
      <c r="N1989" s="52" t="str">
        <f>IF(AND('331-CT'!$E$7=TH!H1989,OR(L1989="331",M1989="331")),"331",IF(AND(OR(L1989="131",M1989="131"),H1989='131-CT'!$E$7),"131",""))</f>
        <v/>
      </c>
      <c r="O1989" s="857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90"/>
      <c r="AC1989" s="557"/>
      <c r="AD1989" s="557"/>
    </row>
    <row r="1990" spans="1:30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03"/>
        <v>10</v>
      </c>
      <c r="C1990" s="184">
        <f t="shared" si="100"/>
        <v>42648</v>
      </c>
      <c r="D1990" s="184" t="s">
        <v>1476</v>
      </c>
      <c r="E1990" s="191">
        <v>42648</v>
      </c>
      <c r="F1990" s="40" t="s">
        <v>720</v>
      </c>
      <c r="G1990" s="456"/>
      <c r="H1990" s="193" t="s">
        <v>1480</v>
      </c>
      <c r="I1990" s="257">
        <v>7166</v>
      </c>
      <c r="J1990" s="257">
        <v>8600</v>
      </c>
      <c r="K1990" s="38">
        <f t="shared" si="102"/>
        <v>61627600</v>
      </c>
      <c r="L1990" s="194" t="s">
        <v>165</v>
      </c>
      <c r="M1990" s="194" t="s">
        <v>159</v>
      </c>
      <c r="N1990" s="52" t="str">
        <f>IF(AND('331-CT'!$E$7=TH!H1990,OR(L1990="331",M1990="331")),"331",IF(AND(OR(L1990="131",M1990="131"),H1990='131-CT'!$E$7),"131",""))</f>
        <v/>
      </c>
      <c r="O1990" s="857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90"/>
      <c r="AC1990" s="557"/>
      <c r="AD1990" s="557"/>
    </row>
    <row r="1991" spans="1:30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03"/>
        <v>10</v>
      </c>
      <c r="C1991" s="184">
        <f t="shared" si="100"/>
        <v>42663</v>
      </c>
      <c r="D1991" s="184" t="s">
        <v>1476</v>
      </c>
      <c r="E1991" s="191">
        <v>42663</v>
      </c>
      <c r="F1991" s="40" t="s">
        <v>710</v>
      </c>
      <c r="G1991" s="456"/>
      <c r="H1991" s="193" t="s">
        <v>1480</v>
      </c>
      <c r="I1991" s="257">
        <v>8288</v>
      </c>
      <c r="J1991" s="257">
        <v>9000</v>
      </c>
      <c r="K1991" s="38">
        <f t="shared" si="102"/>
        <v>74592000</v>
      </c>
      <c r="L1991" s="194" t="s">
        <v>165</v>
      </c>
      <c r="M1991" s="194" t="s">
        <v>159</v>
      </c>
      <c r="N1991" s="52" t="str">
        <f>IF(AND('331-CT'!$E$7=TH!H1991,OR(L1991="331",M1991="331")),"331",IF(AND(OR(L1991="131",M1991="131"),H1991='131-CT'!$E$7),"131",""))</f>
        <v/>
      </c>
      <c r="O1991" s="857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790"/>
      <c r="AC1991" s="557"/>
      <c r="AD1991" s="557"/>
    </row>
    <row r="1992" spans="1:30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03"/>
        <v>11</v>
      </c>
      <c r="C1992" s="184">
        <f t="shared" si="100"/>
        <v>42675</v>
      </c>
      <c r="D1992" s="184" t="s">
        <v>1476</v>
      </c>
      <c r="E1992" s="191">
        <v>42675</v>
      </c>
      <c r="F1992" s="40" t="s">
        <v>710</v>
      </c>
      <c r="G1992" s="456"/>
      <c r="H1992" s="193" t="s">
        <v>1480</v>
      </c>
      <c r="I1992" s="257">
        <v>8778</v>
      </c>
      <c r="J1992" s="257">
        <v>9000</v>
      </c>
      <c r="K1992" s="38">
        <f t="shared" si="102"/>
        <v>79002000</v>
      </c>
      <c r="L1992" s="194" t="s">
        <v>165</v>
      </c>
      <c r="M1992" s="194" t="s">
        <v>159</v>
      </c>
      <c r="N1992" s="52" t="str">
        <f>IF(AND('331-CT'!$E$7=TH!H1992,OR(L1992="331",M1992="331")),"331",IF(AND(OR(L1992="131",M1992="131"),H1992='131-CT'!$E$7),"131",""))</f>
        <v/>
      </c>
      <c r="O1992" s="857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90"/>
      <c r="AC1992" s="557"/>
    </row>
    <row r="1993" spans="1:30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03"/>
        <v>11</v>
      </c>
      <c r="C1993" s="184">
        <f t="shared" si="100"/>
        <v>42675</v>
      </c>
      <c r="D1993" s="184" t="s">
        <v>1476</v>
      </c>
      <c r="E1993" s="37">
        <v>42675</v>
      </c>
      <c r="F1993" s="40" t="s">
        <v>706</v>
      </c>
      <c r="G1993" s="40"/>
      <c r="H1993" s="193" t="s">
        <v>1480</v>
      </c>
      <c r="I1993" s="257">
        <v>10150</v>
      </c>
      <c r="J1993" s="257">
        <v>7300</v>
      </c>
      <c r="K1993" s="38">
        <f t="shared" si="102"/>
        <v>74095000</v>
      </c>
      <c r="L1993" s="194" t="s">
        <v>165</v>
      </c>
      <c r="M1993" s="194" t="s">
        <v>159</v>
      </c>
      <c r="N1993" s="52" t="str">
        <f>IF(AND('331-CT'!$E$7=TH!H1993,OR(L1993="331",M1993="331")),"331",IF(AND(OR(L1993="131",M1993="131"),H1993='131-CT'!$E$7),"131",""))</f>
        <v/>
      </c>
      <c r="O1993" s="857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90"/>
      <c r="AC1993" s="557"/>
      <c r="AD1993" s="557"/>
    </row>
    <row r="1994" spans="1:30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03"/>
        <v>11</v>
      </c>
      <c r="C1994" s="184">
        <f t="shared" si="100"/>
        <v>42689</v>
      </c>
      <c r="D1994" s="184" t="s">
        <v>1476</v>
      </c>
      <c r="E1994" s="37">
        <v>42689</v>
      </c>
      <c r="F1994" s="40" t="s">
        <v>884</v>
      </c>
      <c r="G1994" s="40"/>
      <c r="H1994" s="193" t="s">
        <v>1480</v>
      </c>
      <c r="I1994" s="257">
        <v>4777</v>
      </c>
      <c r="J1994" s="257">
        <v>8500</v>
      </c>
      <c r="K1994" s="38">
        <f t="shared" si="102"/>
        <v>40604500</v>
      </c>
      <c r="L1994" s="194" t="s">
        <v>165</v>
      </c>
      <c r="M1994" s="194" t="s">
        <v>159</v>
      </c>
      <c r="N1994" s="52" t="str">
        <f>IF(AND('331-CT'!$E$7=TH!H1994,OR(L1994="331",M1994="331")),"331",IF(AND(OR(L1994="131",M1994="131"),H1994='131-CT'!$E$7),"131",""))</f>
        <v/>
      </c>
      <c r="O1994" s="857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90"/>
      <c r="AC1994" s="557"/>
    </row>
    <row r="1995" spans="1:30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03"/>
        <v>11</v>
      </c>
      <c r="C1995" s="184">
        <f t="shared" si="100"/>
        <v>42689</v>
      </c>
      <c r="D1995" s="184" t="s">
        <v>1476</v>
      </c>
      <c r="E1995" s="37">
        <v>42689</v>
      </c>
      <c r="F1995" s="40" t="s">
        <v>1279</v>
      </c>
      <c r="G1995" s="40"/>
      <c r="H1995" s="193" t="s">
        <v>1480</v>
      </c>
      <c r="I1995" s="257">
        <v>10008</v>
      </c>
      <c r="J1995" s="257">
        <v>8500</v>
      </c>
      <c r="K1995" s="38">
        <f t="shared" si="102"/>
        <v>85068000</v>
      </c>
      <c r="L1995" s="194" t="s">
        <v>165</v>
      </c>
      <c r="M1995" s="194" t="s">
        <v>159</v>
      </c>
      <c r="N1995" s="52" t="str">
        <f>IF(AND('331-CT'!$E$7=TH!H1995,OR(L1995="331",M1995="331")),"331",IF(AND(OR(L1995="131",M1995="131"),H1995='131-CT'!$E$7),"131",""))</f>
        <v/>
      </c>
      <c r="O1995" s="857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790"/>
      <c r="AC1995" s="557"/>
      <c r="AD1995" s="557"/>
    </row>
    <row r="1996" spans="1:30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03"/>
        <v>11</v>
      </c>
      <c r="C1996" s="184">
        <f t="shared" si="100"/>
        <v>42699</v>
      </c>
      <c r="D1996" s="184" t="s">
        <v>1476</v>
      </c>
      <c r="E1996" s="191">
        <v>42699</v>
      </c>
      <c r="F1996" s="189" t="s">
        <v>1276</v>
      </c>
      <c r="G1996" s="567"/>
      <c r="H1996" s="193" t="s">
        <v>1480</v>
      </c>
      <c r="I1996" s="257">
        <v>806</v>
      </c>
      <c r="J1996" s="257">
        <v>7600</v>
      </c>
      <c r="K1996" s="38">
        <f t="shared" si="102"/>
        <v>6125600</v>
      </c>
      <c r="L1996" s="194" t="s">
        <v>165</v>
      </c>
      <c r="M1996" s="194" t="s">
        <v>159</v>
      </c>
      <c r="N1996" s="52" t="str">
        <f>IF(AND('331-CT'!$E$7=TH!H1996,OR(L1996="331",M1996="331")),"331",IF(AND(OR(L1996="131",M1996="131"),H1996='131-CT'!$E$7),"131",""))</f>
        <v/>
      </c>
      <c r="O1996" s="857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0"/>
      <c r="AC1996" s="557"/>
    </row>
    <row r="1997" spans="1:30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03"/>
        <v>12</v>
      </c>
      <c r="C1997" s="184">
        <f t="shared" si="100"/>
        <v>42705</v>
      </c>
      <c r="D1997" s="184" t="s">
        <v>1476</v>
      </c>
      <c r="E1997" s="191">
        <v>42705</v>
      </c>
      <c r="F1997" s="189" t="s">
        <v>1278</v>
      </c>
      <c r="G1997" s="567"/>
      <c r="H1997" s="193" t="s">
        <v>1480</v>
      </c>
      <c r="I1997" s="257">
        <v>6282</v>
      </c>
      <c r="J1997" s="257">
        <v>9200</v>
      </c>
      <c r="K1997" s="38">
        <f t="shared" si="102"/>
        <v>57794400</v>
      </c>
      <c r="L1997" s="194" t="s">
        <v>165</v>
      </c>
      <c r="M1997" s="194" t="s">
        <v>159</v>
      </c>
      <c r="N1997" s="52" t="str">
        <f>IF(AND('331-CT'!$E$7=TH!H1997,OR(L1997="331",M1997="331")),"331",IF(AND(OR(L1997="131",M1997="131"),H1997='131-CT'!$E$7),"131",""))</f>
        <v/>
      </c>
      <c r="O1997" s="857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0"/>
      <c r="AC1997" s="557"/>
      <c r="AD1997" s="557"/>
    </row>
    <row r="1998" spans="1:30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03"/>
        <v>12</v>
      </c>
      <c r="C1998" s="184">
        <f t="shared" si="100"/>
        <v>42705</v>
      </c>
      <c r="D1998" s="184" t="s">
        <v>1476</v>
      </c>
      <c r="E1998" s="191">
        <v>42705</v>
      </c>
      <c r="F1998" s="189" t="s">
        <v>1279</v>
      </c>
      <c r="G1998" s="567"/>
      <c r="H1998" s="193" t="s">
        <v>1480</v>
      </c>
      <c r="I1998" s="257">
        <v>4325</v>
      </c>
      <c r="J1998" s="257">
        <v>8500</v>
      </c>
      <c r="K1998" s="38">
        <f t="shared" si="102"/>
        <v>36762500</v>
      </c>
      <c r="L1998" s="194" t="s">
        <v>165</v>
      </c>
      <c r="M1998" s="194" t="s">
        <v>159</v>
      </c>
      <c r="N1998" s="52" t="str">
        <f>IF(AND('331-CT'!$E$7=TH!H1998,OR(L1998="331",M1998="331")),"331",IF(AND(OR(L1998="131",M1998="131"),H1998='131-CT'!$E$7),"131",""))</f>
        <v/>
      </c>
      <c r="O1998" s="857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0"/>
      <c r="AC1998" s="557"/>
      <c r="AD1998" s="557"/>
    </row>
    <row r="1999" spans="1:30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03"/>
        <v>12</v>
      </c>
      <c r="C1999" s="184">
        <f t="shared" si="100"/>
        <v>42719</v>
      </c>
      <c r="D1999" s="184" t="s">
        <v>1476</v>
      </c>
      <c r="E1999" s="726">
        <v>42719</v>
      </c>
      <c r="F1999" s="189" t="s">
        <v>1278</v>
      </c>
      <c r="G1999" s="40"/>
      <c r="H1999" s="193" t="s">
        <v>1480</v>
      </c>
      <c r="I1999" s="257">
        <v>1215</v>
      </c>
      <c r="J1999" s="257">
        <v>9200</v>
      </c>
      <c r="K1999" s="38">
        <f t="shared" si="102"/>
        <v>11178000</v>
      </c>
      <c r="L1999" s="194" t="s">
        <v>165</v>
      </c>
      <c r="M1999" s="194" t="s">
        <v>159</v>
      </c>
      <c r="N1999" s="52" t="str">
        <f>IF(AND('331-CT'!$E$7=TH!H1999,OR(L1999="331",M1999="331")),"331",IF(AND(OR(L1999="131",M1999="131"),H1999='131-CT'!$E$7),"131",""))</f>
        <v/>
      </c>
      <c r="O1999" s="857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0"/>
      <c r="AC1999" s="557"/>
    </row>
    <row r="2000" spans="1:30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03"/>
        <v>12</v>
      </c>
      <c r="C2000" s="184">
        <f t="shared" si="100"/>
        <v>42719</v>
      </c>
      <c r="D2000" s="184" t="s">
        <v>1476</v>
      </c>
      <c r="E2000" s="726">
        <v>42719</v>
      </c>
      <c r="F2000" s="40" t="s">
        <v>1281</v>
      </c>
      <c r="G2000" s="40"/>
      <c r="H2000" s="193" t="s">
        <v>1480</v>
      </c>
      <c r="I2000" s="257">
        <v>3085</v>
      </c>
      <c r="J2000" s="257">
        <v>9200</v>
      </c>
      <c r="K2000" s="38">
        <f t="shared" si="102"/>
        <v>28382000</v>
      </c>
      <c r="L2000" s="194" t="s">
        <v>165</v>
      </c>
      <c r="M2000" s="194" t="s">
        <v>159</v>
      </c>
      <c r="N2000" s="52" t="str">
        <f>IF(AND('331-CT'!$E$7=TH!H2000,OR(L2000="331",M2000="331")),"331",IF(AND(OR(L2000="131",M2000="131"),H2000='131-CT'!$E$7),"131",""))</f>
        <v/>
      </c>
      <c r="O2000" s="857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0"/>
      <c r="AC2000" s="557"/>
      <c r="AD2000" s="557"/>
    </row>
    <row r="2001" spans="1:31" s="827" customFormat="1" ht="15.75" customHeight="1">
      <c r="A2001" s="924" t="str">
        <f>IF(B2001&lt;&gt;"",IF(AND(B2001&gt;=_TM1,B2001&lt;=_TM2,OR(TH!L2001="1111",TH!M2001="1111")),TH!D2001,""),"")</f>
        <v/>
      </c>
      <c r="B2001" s="818">
        <f t="shared" si="103"/>
        <v>1</v>
      </c>
      <c r="C2001" s="819">
        <f t="shared" si="100"/>
        <v>42373</v>
      </c>
      <c r="D2001" s="819" t="s">
        <v>1579</v>
      </c>
      <c r="E2001" s="890">
        <v>42373</v>
      </c>
      <c r="F2001" s="934" t="s">
        <v>512</v>
      </c>
      <c r="G2001" s="925" t="s">
        <v>859</v>
      </c>
      <c r="H2001" s="823" t="s">
        <v>1581</v>
      </c>
      <c r="I2001" s="824">
        <v>695</v>
      </c>
      <c r="J2001" s="824">
        <v>10512.108116819038</v>
      </c>
      <c r="K2001" s="868">
        <f t="shared" si="102"/>
        <v>7305915</v>
      </c>
      <c r="L2001" s="931" t="s">
        <v>167</v>
      </c>
      <c r="M2001" s="931" t="s">
        <v>165</v>
      </c>
      <c r="N2001" s="52" t="str">
        <f>IF(AND('331-CT'!$E$7=TH!H2001,OR(L2001="331",M2001="331")),"331",IF(AND(OR(L2001="131",M2001="131"),H2001='131-CT'!$E$7),"131",""))</f>
        <v/>
      </c>
      <c r="O2001" s="857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928"/>
      <c r="AC2001" s="826"/>
      <c r="AD2001" s="826"/>
    </row>
    <row r="2002" spans="1:31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103"/>
        <v>1</v>
      </c>
      <c r="C2002" s="184">
        <f t="shared" si="100"/>
        <v>42373</v>
      </c>
      <c r="D2002" s="184" t="s">
        <v>1579</v>
      </c>
      <c r="E2002" s="726">
        <v>42373</v>
      </c>
      <c r="F2002" s="40" t="s">
        <v>434</v>
      </c>
      <c r="G2002" s="40" t="s">
        <v>859</v>
      </c>
      <c r="H2002" s="7" t="s">
        <v>1581</v>
      </c>
      <c r="I2002" s="256">
        <v>2840</v>
      </c>
      <c r="J2002" s="256">
        <v>8760.0904929577464</v>
      </c>
      <c r="K2002" s="38">
        <f t="shared" si="102"/>
        <v>24878657</v>
      </c>
      <c r="L2002" s="566" t="s">
        <v>167</v>
      </c>
      <c r="M2002" s="566" t="s">
        <v>165</v>
      </c>
      <c r="N2002" s="52" t="str">
        <f>IF(AND('331-CT'!$E$7=TH!H2002,OR(L2002="331",M2002="331")),"331",IF(AND(OR(L2002="131",M2002="131"),H2002='131-CT'!$E$7),"131",""))</f>
        <v/>
      </c>
      <c r="O2002" s="857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0"/>
      <c r="AC2002" s="557"/>
      <c r="AE2002" s="973"/>
    </row>
    <row r="2003" spans="1:31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03"/>
        <v>1</v>
      </c>
      <c r="C2003" s="184">
        <f t="shared" si="100"/>
        <v>42373</v>
      </c>
      <c r="D2003" s="184" t="s">
        <v>1579</v>
      </c>
      <c r="E2003" s="726">
        <v>42373</v>
      </c>
      <c r="F2003" s="189" t="s">
        <v>894</v>
      </c>
      <c r="G2003" s="40" t="s">
        <v>895</v>
      </c>
      <c r="H2003" s="7" t="s">
        <v>1581</v>
      </c>
      <c r="I2003" s="753">
        <v>500</v>
      </c>
      <c r="J2003" s="256">
        <v>7425.2219999999998</v>
      </c>
      <c r="K2003" s="38">
        <f t="shared" ref="K2003:K2066" si="110">ROUND(I2003*J2003,0)</f>
        <v>3712611</v>
      </c>
      <c r="L2003" s="566" t="s">
        <v>167</v>
      </c>
      <c r="M2003" s="566" t="s">
        <v>165</v>
      </c>
      <c r="N2003" s="52" t="str">
        <f>IF(AND('331-CT'!$E$7=TH!H2003,OR(L2003="331",M2003="331")),"331",IF(AND(OR(L2003="131",M2003="131"),H2003='131-CT'!$E$7),"131",""))</f>
        <v/>
      </c>
      <c r="O2003" s="857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0"/>
      <c r="AC2003" s="557"/>
      <c r="AD2003" s="557"/>
      <c r="AE2003" s="973"/>
    </row>
    <row r="2004" spans="1:31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03"/>
        <v>1</v>
      </c>
      <c r="C2004" s="184">
        <f t="shared" si="100"/>
        <v>42374</v>
      </c>
      <c r="D2004" s="184" t="s">
        <v>1579</v>
      </c>
      <c r="E2004" s="726">
        <v>42374</v>
      </c>
      <c r="F2004" s="40" t="s">
        <v>1474</v>
      </c>
      <c r="G2004" s="40" t="s">
        <v>896</v>
      </c>
      <c r="H2004" s="7" t="s">
        <v>1581</v>
      </c>
      <c r="I2004" s="753">
        <v>716</v>
      </c>
      <c r="J2004" s="256">
        <v>7925.7974860335198</v>
      </c>
      <c r="K2004" s="38">
        <f t="shared" si="110"/>
        <v>5674871</v>
      </c>
      <c r="L2004" s="566" t="s">
        <v>167</v>
      </c>
      <c r="M2004" s="566" t="s">
        <v>165</v>
      </c>
      <c r="N2004" s="52" t="str">
        <f>IF(AND('331-CT'!$E$7=TH!H2004,OR(L2004="331",M2004="331")),"331",IF(AND(OR(L2004="131",M2004="131"),H2004='131-CT'!$E$7),"131",""))</f>
        <v/>
      </c>
      <c r="O2004" s="857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0"/>
      <c r="AC2004" s="557"/>
      <c r="AD2004" s="557"/>
      <c r="AE2004" s="973"/>
    </row>
    <row r="2005" spans="1:31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103"/>
        <v>1</v>
      </c>
      <c r="C2005" s="184">
        <f t="shared" si="100"/>
        <v>42374</v>
      </c>
      <c r="D2005" s="184" t="s">
        <v>1579</v>
      </c>
      <c r="E2005" s="726">
        <v>42374</v>
      </c>
      <c r="F2005" s="189" t="s">
        <v>1474</v>
      </c>
      <c r="G2005" s="40" t="s">
        <v>896</v>
      </c>
      <c r="H2005" s="7" t="s">
        <v>1581</v>
      </c>
      <c r="I2005" s="256">
        <v>732</v>
      </c>
      <c r="J2005" s="256">
        <v>8092.654661360687</v>
      </c>
      <c r="K2005" s="38">
        <f t="shared" si="110"/>
        <v>5923823</v>
      </c>
      <c r="L2005" s="566" t="s">
        <v>167</v>
      </c>
      <c r="M2005" s="566" t="s">
        <v>165</v>
      </c>
      <c r="N2005" s="52" t="str">
        <f>IF(AND('331-CT'!$E$7=TH!H2005,OR(L2005="331",M2005="331")),"331",IF(AND(OR(L2005="131",M2005="131"),H2005='131-CT'!$E$7),"131",""))</f>
        <v/>
      </c>
      <c r="O2005" s="857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0"/>
      <c r="AC2005" s="557"/>
    </row>
    <row r="2006" spans="1:31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103"/>
        <v>1</v>
      </c>
      <c r="C2006" s="184">
        <f t="shared" si="100"/>
        <v>42374</v>
      </c>
      <c r="D2006" s="184" t="s">
        <v>1579</v>
      </c>
      <c r="E2006" s="726">
        <v>42374</v>
      </c>
      <c r="F2006" s="189" t="s">
        <v>419</v>
      </c>
      <c r="G2006" s="40" t="s">
        <v>897</v>
      </c>
      <c r="H2006" s="7" t="s">
        <v>1581</v>
      </c>
      <c r="I2006" s="256">
        <v>626</v>
      </c>
      <c r="J2006" s="256">
        <v>6841.2132188822297</v>
      </c>
      <c r="K2006" s="38">
        <f t="shared" si="110"/>
        <v>4282599</v>
      </c>
      <c r="L2006" s="566" t="s">
        <v>167</v>
      </c>
      <c r="M2006" s="566" t="s">
        <v>165</v>
      </c>
      <c r="N2006" s="52" t="str">
        <f>IF(AND('331-CT'!$E$7=TH!H2006,OR(L2006="331",M2006="331")),"331",IF(AND(OR(L2006="131",M2006="131"),H2006='131-CT'!$E$7),"131",""))</f>
        <v/>
      </c>
      <c r="O2006" s="857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0"/>
      <c r="AC2006" s="557"/>
      <c r="AD2006" s="557"/>
    </row>
    <row r="2007" spans="1:31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03"/>
        <v>1</v>
      </c>
      <c r="C2007" s="184">
        <f t="shared" si="100"/>
        <v>42374</v>
      </c>
      <c r="D2007" s="184" t="s">
        <v>1579</v>
      </c>
      <c r="E2007" s="184">
        <v>42374</v>
      </c>
      <c r="F2007" s="189" t="s">
        <v>422</v>
      </c>
      <c r="G2007" s="567" t="s">
        <v>897</v>
      </c>
      <c r="H2007" s="7" t="s">
        <v>1581</v>
      </c>
      <c r="I2007" s="256">
        <v>613</v>
      </c>
      <c r="J2007" s="256">
        <v>8092.654661360687</v>
      </c>
      <c r="K2007" s="38">
        <f t="shared" si="110"/>
        <v>4960797</v>
      </c>
      <c r="L2007" s="566" t="s">
        <v>167</v>
      </c>
      <c r="M2007" s="566" t="s">
        <v>165</v>
      </c>
      <c r="N2007" s="52" t="str">
        <f>IF(AND('331-CT'!$E$7=TH!H2007,OR(L2007="331",M2007="331")),"331",IF(AND(OR(L2007="131",M2007="131"),H2007='131-CT'!$E$7),"131",""))</f>
        <v/>
      </c>
      <c r="O2007" s="857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0"/>
      <c r="AC2007" s="557"/>
    </row>
    <row r="2008" spans="1:31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03"/>
        <v>1</v>
      </c>
      <c r="C2008" s="184">
        <f t="shared" si="100"/>
        <v>42374</v>
      </c>
      <c r="D2008" s="184" t="s">
        <v>1579</v>
      </c>
      <c r="E2008" s="726">
        <v>42374</v>
      </c>
      <c r="F2008" s="40" t="s">
        <v>624</v>
      </c>
      <c r="G2008" s="40" t="s">
        <v>897</v>
      </c>
      <c r="H2008" s="7" t="s">
        <v>1581</v>
      </c>
      <c r="I2008" s="256">
        <v>612</v>
      </c>
      <c r="J2008" s="256">
        <v>7508.6486548707408</v>
      </c>
      <c r="K2008" s="38">
        <f t="shared" si="110"/>
        <v>4595293</v>
      </c>
      <c r="L2008" s="566" t="s">
        <v>167</v>
      </c>
      <c r="M2008" s="566" t="s">
        <v>165</v>
      </c>
      <c r="N2008" s="52" t="str">
        <f>IF(AND('331-CT'!$E$7=TH!H2008,OR(L2008="331",M2008="331")),"331",IF(AND(OR(L2008="131",M2008="131"),H2008='131-CT'!$E$7),"131",""))</f>
        <v/>
      </c>
      <c r="O2008" s="857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0"/>
      <c r="AC2008" s="557"/>
      <c r="AD2008" s="557"/>
    </row>
    <row r="2009" spans="1:31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03"/>
        <v>1</v>
      </c>
      <c r="C2009" s="184">
        <f t="shared" si="100"/>
        <v>42374</v>
      </c>
      <c r="D2009" s="184" t="s">
        <v>1579</v>
      </c>
      <c r="E2009" s="726">
        <v>42374</v>
      </c>
      <c r="F2009" s="189" t="s">
        <v>419</v>
      </c>
      <c r="G2009" s="40" t="s">
        <v>897</v>
      </c>
      <c r="H2009" s="7" t="s">
        <v>1581</v>
      </c>
      <c r="I2009" s="256">
        <v>905</v>
      </c>
      <c r="J2009" s="256">
        <v>6841.2132188822297</v>
      </c>
      <c r="K2009" s="38">
        <f t="shared" si="110"/>
        <v>6191298</v>
      </c>
      <c r="L2009" s="566" t="s">
        <v>167</v>
      </c>
      <c r="M2009" s="566" t="s">
        <v>165</v>
      </c>
      <c r="N2009" s="52" t="str">
        <f>IF(AND('331-CT'!$E$7=TH!H2009,OR(L2009="331",M2009="331")),"331",IF(AND(OR(L2009="131",M2009="131"),H2009='131-CT'!$E$7),"131",""))</f>
        <v/>
      </c>
      <c r="O2009" s="857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0"/>
      <c r="AC2009" s="557"/>
    </row>
    <row r="2010" spans="1:31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03"/>
        <v>1</v>
      </c>
      <c r="C2010" s="184">
        <f t="shared" si="100"/>
        <v>42374</v>
      </c>
      <c r="D2010" s="184" t="s">
        <v>1579</v>
      </c>
      <c r="E2010" s="726">
        <v>42374</v>
      </c>
      <c r="F2010" s="189" t="s">
        <v>444</v>
      </c>
      <c r="G2010" s="40" t="s">
        <v>897</v>
      </c>
      <c r="H2010" s="7" t="s">
        <v>1581</v>
      </c>
      <c r="I2010" s="256">
        <v>642</v>
      </c>
      <c r="J2010" s="256">
        <v>7592.0780843693046</v>
      </c>
      <c r="K2010" s="38">
        <f t="shared" si="110"/>
        <v>4874114</v>
      </c>
      <c r="L2010" s="566" t="s">
        <v>167</v>
      </c>
      <c r="M2010" s="566" t="s">
        <v>165</v>
      </c>
      <c r="N2010" s="52" t="str">
        <f>IF(AND('331-CT'!$E$7=TH!H2010,OR(L2010="331",M2010="331")),"331",IF(AND(OR(L2010="131",M2010="131"),H2010='131-CT'!$E$7),"131",""))</f>
        <v/>
      </c>
      <c r="O2010" s="857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0"/>
      <c r="AC2010" s="557"/>
      <c r="AD2010" s="557"/>
    </row>
    <row r="2011" spans="1:31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03"/>
        <v>1</v>
      </c>
      <c r="C2011" s="184">
        <f t="shared" si="100"/>
        <v>42375</v>
      </c>
      <c r="D2011" s="184" t="s">
        <v>1579</v>
      </c>
      <c r="E2011" s="726">
        <v>42375</v>
      </c>
      <c r="F2011" s="189" t="s">
        <v>466</v>
      </c>
      <c r="G2011" s="40" t="s">
        <v>898</v>
      </c>
      <c r="H2011" s="7" t="s">
        <v>1581</v>
      </c>
      <c r="I2011" s="753">
        <v>1580</v>
      </c>
      <c r="J2011" s="256">
        <v>5673.2012059023382</v>
      </c>
      <c r="K2011" s="38">
        <f t="shared" si="110"/>
        <v>8963658</v>
      </c>
      <c r="L2011" s="566" t="s">
        <v>167</v>
      </c>
      <c r="M2011" s="566" t="s">
        <v>165</v>
      </c>
      <c r="N2011" s="52" t="str">
        <f>IF(AND('331-CT'!$E$7=TH!H2011,OR(L2011="331",M2011="331")),"331",IF(AND(OR(L2011="131",M2011="131"),H2011='131-CT'!$E$7),"131",""))</f>
        <v/>
      </c>
      <c r="O2011" s="857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0"/>
      <c r="AC2011" s="557"/>
      <c r="AD2011" s="557"/>
    </row>
    <row r="2012" spans="1:31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03"/>
        <v>1</v>
      </c>
      <c r="C2012" s="184">
        <f t="shared" si="100"/>
        <v>42376</v>
      </c>
      <c r="D2012" s="184" t="s">
        <v>1579</v>
      </c>
      <c r="E2012" s="726">
        <v>42376</v>
      </c>
      <c r="F2012" s="189" t="s">
        <v>542</v>
      </c>
      <c r="G2012" s="40" t="s">
        <v>899</v>
      </c>
      <c r="H2012" s="7" t="s">
        <v>1581</v>
      </c>
      <c r="I2012" s="256">
        <v>358</v>
      </c>
      <c r="J2012" s="256">
        <v>4421.7597634238809</v>
      </c>
      <c r="K2012" s="38">
        <f t="shared" si="110"/>
        <v>1582990</v>
      </c>
      <c r="L2012" s="566" t="s">
        <v>167</v>
      </c>
      <c r="M2012" s="566" t="s">
        <v>165</v>
      </c>
      <c r="N2012" s="52" t="str">
        <f>IF(AND('331-CT'!$E$7=TH!H2012,OR(L2012="331",M2012="331")),"331",IF(AND(OR(L2012="131",M2012="131"),H2012='131-CT'!$E$7),"131",""))</f>
        <v/>
      </c>
      <c r="O2012" s="857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0"/>
      <c r="AC2012" s="557"/>
      <c r="AD2012" s="557"/>
    </row>
    <row r="2013" spans="1:31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03"/>
        <v>1</v>
      </c>
      <c r="C2013" s="184">
        <f t="shared" si="100"/>
        <v>42376</v>
      </c>
      <c r="D2013" s="184" t="s">
        <v>1579</v>
      </c>
      <c r="E2013" s="726">
        <v>42376</v>
      </c>
      <c r="F2013" s="189" t="s">
        <v>679</v>
      </c>
      <c r="G2013" s="40" t="s">
        <v>900</v>
      </c>
      <c r="H2013" s="7" t="s">
        <v>1581</v>
      </c>
      <c r="I2013" s="256">
        <v>203</v>
      </c>
      <c r="J2013" s="256">
        <v>13598.997008265897</v>
      </c>
      <c r="K2013" s="38">
        <f t="shared" si="110"/>
        <v>2760596</v>
      </c>
      <c r="L2013" s="566" t="s">
        <v>167</v>
      </c>
      <c r="M2013" s="566" t="s">
        <v>165</v>
      </c>
      <c r="N2013" s="52" t="str">
        <f>IF(AND('331-CT'!$E$7=TH!H2013,OR(L2013="331",M2013="331")),"331",IF(AND(OR(L2013="131",M2013="131"),H2013='131-CT'!$E$7),"131",""))</f>
        <v/>
      </c>
      <c r="O2013" s="857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0"/>
      <c r="AC2013" s="557"/>
      <c r="AD2013" s="557"/>
    </row>
    <row r="2014" spans="1:31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103"/>
        <v>1</v>
      </c>
      <c r="C2014" s="184">
        <f t="shared" ref="C2014:C2077" si="111">E2014</f>
        <v>42376</v>
      </c>
      <c r="D2014" s="184" t="s">
        <v>1579</v>
      </c>
      <c r="E2014" s="726">
        <v>42376</v>
      </c>
      <c r="F2014" s="189" t="s">
        <v>680</v>
      </c>
      <c r="G2014" s="40" t="s">
        <v>900</v>
      </c>
      <c r="H2014" s="7" t="s">
        <v>1581</v>
      </c>
      <c r="I2014" s="256">
        <v>104</v>
      </c>
      <c r="J2014" s="256">
        <v>18604.762778179724</v>
      </c>
      <c r="K2014" s="38">
        <f t="shared" si="110"/>
        <v>1934895</v>
      </c>
      <c r="L2014" s="566" t="s">
        <v>167</v>
      </c>
      <c r="M2014" s="566" t="s">
        <v>165</v>
      </c>
      <c r="N2014" s="52" t="str">
        <f>IF(AND('331-CT'!$E$7=TH!H2014,OR(L2014="331",M2014="331")),"331",IF(AND(OR(L2014="131",M2014="131"),H2014='131-CT'!$E$7),"131",""))</f>
        <v/>
      </c>
      <c r="O2014" s="857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0"/>
      <c r="AC2014" s="557"/>
      <c r="AD2014" s="557"/>
    </row>
    <row r="2015" spans="1:31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03"/>
        <v>1</v>
      </c>
      <c r="C2015" s="184">
        <f t="shared" si="111"/>
        <v>42376</v>
      </c>
      <c r="D2015" s="184" t="s">
        <v>1579</v>
      </c>
      <c r="E2015" s="726">
        <v>42376</v>
      </c>
      <c r="F2015" s="189" t="s">
        <v>901</v>
      </c>
      <c r="G2015" s="40" t="s">
        <v>900</v>
      </c>
      <c r="H2015" s="7" t="s">
        <v>1581</v>
      </c>
      <c r="I2015" s="256">
        <v>20</v>
      </c>
      <c r="J2015" s="256">
        <v>12097.267277291749</v>
      </c>
      <c r="K2015" s="38">
        <f t="shared" si="110"/>
        <v>241945</v>
      </c>
      <c r="L2015" s="566" t="s">
        <v>167</v>
      </c>
      <c r="M2015" s="566" t="s">
        <v>165</v>
      </c>
      <c r="N2015" s="52" t="str">
        <f>IF(AND('331-CT'!$E$7=TH!H2015,OR(L2015="331",M2015="331")),"331",IF(AND(OR(L2015="131",M2015="131"),H2015='131-CT'!$E$7),"131",""))</f>
        <v/>
      </c>
      <c r="O2015" s="857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790"/>
      <c r="AC2015" s="557"/>
      <c r="AD2015" s="557"/>
    </row>
    <row r="2016" spans="1:31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03"/>
        <v>1</v>
      </c>
      <c r="C2016" s="184">
        <f t="shared" si="111"/>
        <v>42376</v>
      </c>
      <c r="D2016" s="184" t="s">
        <v>1579</v>
      </c>
      <c r="E2016" s="726">
        <v>42376</v>
      </c>
      <c r="F2016" s="189" t="s">
        <v>902</v>
      </c>
      <c r="G2016" s="40" t="s">
        <v>900</v>
      </c>
      <c r="H2016" s="7" t="s">
        <v>1581</v>
      </c>
      <c r="I2016" s="256">
        <v>23</v>
      </c>
      <c r="J2016" s="256">
        <v>13598.997008265897</v>
      </c>
      <c r="K2016" s="38">
        <f t="shared" si="110"/>
        <v>312777</v>
      </c>
      <c r="L2016" s="566" t="s">
        <v>167</v>
      </c>
      <c r="M2016" s="566" t="s">
        <v>165</v>
      </c>
      <c r="N2016" s="52" t="str">
        <f>IF(AND('331-CT'!$E$7=TH!H2016,OR(L2016="331",M2016="331")),"331",IF(AND(OR(L2016="131",M2016="131"),H2016='131-CT'!$E$7),"131",""))</f>
        <v/>
      </c>
      <c r="O2016" s="857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0"/>
      <c r="AC2016" s="557"/>
      <c r="AD2016" s="557"/>
    </row>
    <row r="2017" spans="1:30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03"/>
        <v>1</v>
      </c>
      <c r="C2017" s="184">
        <f t="shared" si="111"/>
        <v>42376</v>
      </c>
      <c r="D2017" s="184" t="s">
        <v>1579</v>
      </c>
      <c r="E2017" s="726">
        <v>42376</v>
      </c>
      <c r="F2017" s="189" t="s">
        <v>903</v>
      </c>
      <c r="G2017" s="40" t="s">
        <v>900</v>
      </c>
      <c r="H2017" s="7" t="s">
        <v>1581</v>
      </c>
      <c r="I2017" s="256">
        <v>22</v>
      </c>
      <c r="J2017" s="256">
        <v>15768.162175228555</v>
      </c>
      <c r="K2017" s="38">
        <f t="shared" si="110"/>
        <v>346900</v>
      </c>
      <c r="L2017" s="566" t="s">
        <v>167</v>
      </c>
      <c r="M2017" s="566" t="s">
        <v>165</v>
      </c>
      <c r="N2017" s="52" t="str">
        <f>IF(AND('331-CT'!$E$7=TH!H2017,OR(L2017="331",M2017="331")),"331",IF(AND(OR(L2017="131",M2017="131"),H2017='131-CT'!$E$7),"131",""))</f>
        <v/>
      </c>
      <c r="O2017" s="857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0"/>
      <c r="AC2017" s="557"/>
      <c r="AD2017" s="557"/>
    </row>
    <row r="2018" spans="1:30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03"/>
        <v>1</v>
      </c>
      <c r="C2018" s="184">
        <f t="shared" si="111"/>
        <v>42376</v>
      </c>
      <c r="D2018" s="184" t="s">
        <v>1579</v>
      </c>
      <c r="E2018" s="726">
        <v>42376</v>
      </c>
      <c r="F2018" s="189" t="s">
        <v>904</v>
      </c>
      <c r="G2018" s="40" t="s">
        <v>900</v>
      </c>
      <c r="H2018" s="7" t="s">
        <v>1581</v>
      </c>
      <c r="I2018" s="256">
        <v>22</v>
      </c>
      <c r="J2018" s="256">
        <v>18771.621637176853</v>
      </c>
      <c r="K2018" s="38">
        <f t="shared" si="110"/>
        <v>412976</v>
      </c>
      <c r="L2018" s="566" t="s">
        <v>167</v>
      </c>
      <c r="M2018" s="566" t="s">
        <v>165</v>
      </c>
      <c r="N2018" s="52" t="str">
        <f>IF(AND('331-CT'!$E$7=TH!H2018,OR(L2018="331",M2018="331")),"331",IF(AND(OR(L2018="131",M2018="131"),H2018='131-CT'!$E$7),"131",""))</f>
        <v/>
      </c>
      <c r="O2018" s="857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0"/>
      <c r="AC2018" s="557"/>
      <c r="AD2018" s="557"/>
    </row>
    <row r="2019" spans="1:30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03"/>
        <v>1</v>
      </c>
      <c r="C2019" s="184">
        <f t="shared" si="111"/>
        <v>42376</v>
      </c>
      <c r="D2019" s="184" t="s">
        <v>1579</v>
      </c>
      <c r="E2019" s="184">
        <v>42376</v>
      </c>
      <c r="F2019" s="189" t="s">
        <v>905</v>
      </c>
      <c r="G2019" s="567" t="s">
        <v>900</v>
      </c>
      <c r="H2019" s="7" t="s">
        <v>1581</v>
      </c>
      <c r="I2019" s="256">
        <v>21</v>
      </c>
      <c r="J2019" s="256">
        <v>23109.951971102168</v>
      </c>
      <c r="K2019" s="38">
        <f t="shared" si="110"/>
        <v>485309</v>
      </c>
      <c r="L2019" s="566" t="s">
        <v>167</v>
      </c>
      <c r="M2019" s="566" t="s">
        <v>165</v>
      </c>
      <c r="N2019" s="52" t="str">
        <f>IF(AND('331-CT'!$E$7=TH!H2019,OR(L2019="331",M2019="331")),"331",IF(AND(OR(L2019="131",M2019="131"),H2019='131-CT'!$E$7),"131",""))</f>
        <v/>
      </c>
      <c r="O2019" s="857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0"/>
      <c r="AC2019" s="557"/>
    </row>
    <row r="2020" spans="1:30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03"/>
        <v>1</v>
      </c>
      <c r="C2020" s="184">
        <f t="shared" si="111"/>
        <v>42376</v>
      </c>
      <c r="D2020" s="184" t="s">
        <v>1579</v>
      </c>
      <c r="E2020" s="191">
        <v>42376</v>
      </c>
      <c r="F2020" s="192" t="s">
        <v>906</v>
      </c>
      <c r="G2020" s="456" t="s">
        <v>900</v>
      </c>
      <c r="H2020" s="7" t="s">
        <v>1581</v>
      </c>
      <c r="I2020" s="256">
        <v>22</v>
      </c>
      <c r="J2020" s="256">
        <v>25946.552574053338</v>
      </c>
      <c r="K2020" s="38">
        <f t="shared" si="110"/>
        <v>570824</v>
      </c>
      <c r="L2020" s="566" t="s">
        <v>167</v>
      </c>
      <c r="M2020" s="566" t="s">
        <v>165</v>
      </c>
      <c r="N2020" s="52" t="str">
        <f>IF(AND('331-CT'!$E$7=TH!H2020,OR(L2020="331",M2020="331")),"331",IF(AND(OR(L2020="131",M2020="131"),H2020='131-CT'!$E$7),"131",""))</f>
        <v/>
      </c>
      <c r="O2020" s="857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0"/>
      <c r="AC2020" s="557"/>
      <c r="AD2020" s="557"/>
    </row>
    <row r="2021" spans="1:30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03"/>
        <v>1</v>
      </c>
      <c r="C2021" s="184">
        <f t="shared" si="111"/>
        <v>42376</v>
      </c>
      <c r="D2021" s="184" t="s">
        <v>1579</v>
      </c>
      <c r="E2021" s="191">
        <v>42376</v>
      </c>
      <c r="F2021" s="192" t="s">
        <v>907</v>
      </c>
      <c r="G2021" s="456" t="s">
        <v>900</v>
      </c>
      <c r="H2021" s="7" t="s">
        <v>1581</v>
      </c>
      <c r="I2021" s="256">
        <v>21</v>
      </c>
      <c r="J2021" s="256">
        <v>27197.994016531793</v>
      </c>
      <c r="K2021" s="38">
        <f t="shared" si="110"/>
        <v>571158</v>
      </c>
      <c r="L2021" s="566" t="s">
        <v>167</v>
      </c>
      <c r="M2021" s="566" t="s">
        <v>165</v>
      </c>
      <c r="N2021" s="52" t="str">
        <f>IF(AND('331-CT'!$E$7=TH!H2021,OR(L2021="331",M2021="331")),"331",IF(AND(OR(L2021="131",M2021="131"),H2021='131-CT'!$E$7),"131",""))</f>
        <v/>
      </c>
      <c r="O2021" s="857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0"/>
      <c r="AC2021" s="557"/>
      <c r="AD2021" s="557"/>
    </row>
    <row r="2022" spans="1:30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03"/>
        <v>1</v>
      </c>
      <c r="C2022" s="184">
        <f t="shared" si="111"/>
        <v>42376</v>
      </c>
      <c r="D2022" s="184" t="s">
        <v>1579</v>
      </c>
      <c r="E2022" s="191">
        <v>42376</v>
      </c>
      <c r="F2022" s="192" t="s">
        <v>908</v>
      </c>
      <c r="G2022" s="456" t="s">
        <v>900</v>
      </c>
      <c r="H2022" s="7" t="s">
        <v>1581</v>
      </c>
      <c r="I2022" s="256">
        <v>24</v>
      </c>
      <c r="J2022" s="256">
        <v>34039.207235414025</v>
      </c>
      <c r="K2022" s="38">
        <f t="shared" si="110"/>
        <v>816941</v>
      </c>
      <c r="L2022" s="566" t="s">
        <v>167</v>
      </c>
      <c r="M2022" s="566" t="s">
        <v>165</v>
      </c>
      <c r="N2022" s="52" t="str">
        <f>IF(AND('331-CT'!$E$7=TH!H2022,OR(L2022="331",M2022="331")),"331",IF(AND(OR(L2022="131",M2022="131"),H2022='131-CT'!$E$7),"131",""))</f>
        <v/>
      </c>
      <c r="O2022" s="857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0"/>
      <c r="AC2022" s="557"/>
      <c r="AD2022" s="557"/>
    </row>
    <row r="2023" spans="1:30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03"/>
        <v>1</v>
      </c>
      <c r="C2023" s="184">
        <f t="shared" si="111"/>
        <v>42376</v>
      </c>
      <c r="D2023" s="184" t="s">
        <v>1579</v>
      </c>
      <c r="E2023" s="191">
        <v>42376</v>
      </c>
      <c r="F2023" s="192" t="s">
        <v>1236</v>
      </c>
      <c r="G2023" s="456" t="s">
        <v>909</v>
      </c>
      <c r="H2023" s="7" t="s">
        <v>1581</v>
      </c>
      <c r="I2023" s="256">
        <v>320</v>
      </c>
      <c r="J2023" s="256">
        <v>13098.420431274515</v>
      </c>
      <c r="K2023" s="38">
        <f t="shared" si="110"/>
        <v>4191495</v>
      </c>
      <c r="L2023" s="566" t="s">
        <v>167</v>
      </c>
      <c r="M2023" s="566" t="s">
        <v>165</v>
      </c>
      <c r="N2023" s="52" t="str">
        <f>IF(AND('331-CT'!$E$7=TH!H2023,OR(L2023="331",M2023="331")),"331",IF(AND(OR(L2023="131",M2023="131"),H2023='131-CT'!$E$7),"131",""))</f>
        <v/>
      </c>
      <c r="O2023" s="857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0"/>
      <c r="AC2023" s="557"/>
    </row>
    <row r="2024" spans="1:30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03"/>
        <v>1</v>
      </c>
      <c r="C2024" s="184">
        <f t="shared" si="111"/>
        <v>42376</v>
      </c>
      <c r="D2024" s="184" t="s">
        <v>1579</v>
      </c>
      <c r="E2024" s="191">
        <v>42376</v>
      </c>
      <c r="F2024" s="192" t="s">
        <v>1237</v>
      </c>
      <c r="G2024" s="456" t="s">
        <v>909</v>
      </c>
      <c r="H2024" s="7" t="s">
        <v>1581</v>
      </c>
      <c r="I2024" s="256">
        <v>280</v>
      </c>
      <c r="J2024" s="256">
        <v>7091.5015073779214</v>
      </c>
      <c r="K2024" s="38">
        <f t="shared" si="110"/>
        <v>1985620</v>
      </c>
      <c r="L2024" s="566" t="s">
        <v>167</v>
      </c>
      <c r="M2024" s="566" t="s">
        <v>165</v>
      </c>
      <c r="N2024" s="52" t="str">
        <f>IF(AND('331-CT'!$E$7=TH!H2024,OR(L2024="331",M2024="331")),"331",IF(AND(OR(L2024="131",M2024="131"),H2024='131-CT'!$E$7),"131",""))</f>
        <v/>
      </c>
      <c r="O2024" s="857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0"/>
      <c r="AC2024" s="557"/>
      <c r="AD2024" s="557"/>
    </row>
    <row r="2025" spans="1:30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03"/>
        <v>1</v>
      </c>
      <c r="C2025" s="184">
        <f t="shared" si="111"/>
        <v>42376</v>
      </c>
      <c r="D2025" s="184" t="s">
        <v>1579</v>
      </c>
      <c r="E2025" s="37">
        <v>42376</v>
      </c>
      <c r="F2025" s="40" t="s">
        <v>1238</v>
      </c>
      <c r="G2025" s="40" t="s">
        <v>909</v>
      </c>
      <c r="H2025" s="7" t="s">
        <v>1581</v>
      </c>
      <c r="I2025" s="256">
        <v>211</v>
      </c>
      <c r="J2025" s="256">
        <v>7842.3663728649954</v>
      </c>
      <c r="K2025" s="38">
        <f t="shared" si="110"/>
        <v>1654739</v>
      </c>
      <c r="L2025" s="566" t="s">
        <v>167</v>
      </c>
      <c r="M2025" s="566" t="s">
        <v>165</v>
      </c>
      <c r="N2025" s="52" t="str">
        <f>IF(AND('331-CT'!$E$7=TH!H2025,OR(L2025="331",M2025="331")),"331",IF(AND(OR(L2025="131",M2025="131"),H2025='131-CT'!$E$7),"131",""))</f>
        <v/>
      </c>
      <c r="O2025" s="857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790"/>
      <c r="AC2025" s="557"/>
    </row>
    <row r="2026" spans="1:30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ref="B2026:B2089" si="112">IF(C2026&lt;&gt;"",MONTH(C2026),"")</f>
        <v>1</v>
      </c>
      <c r="C2026" s="184">
        <f t="shared" si="111"/>
        <v>42376</v>
      </c>
      <c r="D2026" s="184" t="s">
        <v>1579</v>
      </c>
      <c r="E2026" s="37">
        <v>42376</v>
      </c>
      <c r="F2026" s="40" t="s">
        <v>1239</v>
      </c>
      <c r="G2026" s="40" t="s">
        <v>909</v>
      </c>
      <c r="H2026" s="7" t="s">
        <v>1581</v>
      </c>
      <c r="I2026" s="256">
        <v>75</v>
      </c>
      <c r="J2026" s="256">
        <v>8259.5135203578157</v>
      </c>
      <c r="K2026" s="38">
        <f t="shared" si="110"/>
        <v>619464</v>
      </c>
      <c r="L2026" s="566" t="s">
        <v>167</v>
      </c>
      <c r="M2026" s="566" t="s">
        <v>165</v>
      </c>
      <c r="N2026" s="52" t="str">
        <f>IF(AND('331-CT'!$E$7=TH!H2026,OR(L2026="331",M2026="331")),"331",IF(AND(OR(L2026="131",M2026="131"),H2026='131-CT'!$E$7),"131",""))</f>
        <v/>
      </c>
      <c r="O2026" s="857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790"/>
      <c r="AC2026" s="557"/>
      <c r="AD2026" s="557"/>
    </row>
    <row r="2027" spans="1:30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12"/>
        <v>1</v>
      </c>
      <c r="C2027" s="184">
        <f t="shared" si="111"/>
        <v>42376</v>
      </c>
      <c r="D2027" s="184" t="s">
        <v>1579</v>
      </c>
      <c r="E2027" s="184">
        <v>42376</v>
      </c>
      <c r="F2027" s="189" t="s">
        <v>1240</v>
      </c>
      <c r="G2027" s="567" t="s">
        <v>909</v>
      </c>
      <c r="H2027" s="7" t="s">
        <v>1581</v>
      </c>
      <c r="I2027" s="256">
        <v>70</v>
      </c>
      <c r="J2027" s="256">
        <v>5840.060064899465</v>
      </c>
      <c r="K2027" s="38">
        <f t="shared" si="110"/>
        <v>408804</v>
      </c>
      <c r="L2027" s="566" t="s">
        <v>167</v>
      </c>
      <c r="M2027" s="566" t="s">
        <v>165</v>
      </c>
      <c r="N2027" s="52" t="str">
        <f>IF(AND('331-CT'!$E$7=TH!H2027,OR(L2027="331",M2027="331")),"331",IF(AND(OR(L2027="131",M2027="131"),H2027='131-CT'!$E$7),"131",""))</f>
        <v/>
      </c>
      <c r="O2027" s="857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790"/>
      <c r="AC2027" s="557"/>
      <c r="AD2027" s="557"/>
    </row>
    <row r="2028" spans="1:30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12"/>
        <v>1</v>
      </c>
      <c r="C2028" s="184">
        <f t="shared" si="111"/>
        <v>42376</v>
      </c>
      <c r="D2028" s="184" t="s">
        <v>1579</v>
      </c>
      <c r="E2028" s="184">
        <v>42376</v>
      </c>
      <c r="F2028" s="189" t="s">
        <v>1241</v>
      </c>
      <c r="G2028" s="567" t="s">
        <v>909</v>
      </c>
      <c r="H2028" s="7" t="s">
        <v>1581</v>
      </c>
      <c r="I2028" s="256">
        <v>120</v>
      </c>
      <c r="J2028" s="256">
        <v>9010.3783858448896</v>
      </c>
      <c r="K2028" s="38">
        <f t="shared" si="110"/>
        <v>1081245</v>
      </c>
      <c r="L2028" s="566" t="s">
        <v>167</v>
      </c>
      <c r="M2028" s="566" t="s">
        <v>165</v>
      </c>
      <c r="N2028" s="52" t="str">
        <f>IF(AND('331-CT'!$E$7=TH!H2028,OR(L2028="331",M2028="331")),"331",IF(AND(OR(L2028="131",M2028="131"),H2028='131-CT'!$E$7),"131",""))</f>
        <v/>
      </c>
      <c r="O2028" s="857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0"/>
      <c r="AC2028" s="557"/>
      <c r="AD2028" s="557"/>
    </row>
    <row r="2029" spans="1:30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12"/>
        <v>1</v>
      </c>
      <c r="C2029" s="184">
        <f t="shared" si="111"/>
        <v>42376</v>
      </c>
      <c r="D2029" s="184" t="s">
        <v>1579</v>
      </c>
      <c r="E2029" s="184">
        <v>42376</v>
      </c>
      <c r="F2029" s="189" t="s">
        <v>1242</v>
      </c>
      <c r="G2029" s="567" t="s">
        <v>909</v>
      </c>
      <c r="H2029" s="7" t="s">
        <v>1581</v>
      </c>
      <c r="I2029" s="256">
        <v>110</v>
      </c>
      <c r="J2029" s="256">
        <v>14850.438450744354</v>
      </c>
      <c r="K2029" s="38">
        <f t="shared" si="110"/>
        <v>1633548</v>
      </c>
      <c r="L2029" s="566" t="s">
        <v>167</v>
      </c>
      <c r="M2029" s="566" t="s">
        <v>165</v>
      </c>
      <c r="N2029" s="52" t="str">
        <f>IF(AND('331-CT'!$E$7=TH!H2029,OR(L2029="331",M2029="331")),"331",IF(AND(OR(L2029="131",M2029="131"),H2029='131-CT'!$E$7),"131",""))</f>
        <v/>
      </c>
      <c r="O2029" s="857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0"/>
      <c r="AC2029" s="557"/>
      <c r="AD2029" s="557"/>
    </row>
    <row r="2030" spans="1:30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12"/>
        <v>1</v>
      </c>
      <c r="C2030" s="184">
        <f t="shared" si="111"/>
        <v>42376</v>
      </c>
      <c r="D2030" s="184" t="s">
        <v>1579</v>
      </c>
      <c r="E2030" s="184">
        <v>42376</v>
      </c>
      <c r="F2030" s="189" t="s">
        <v>1243</v>
      </c>
      <c r="G2030" s="567" t="s">
        <v>909</v>
      </c>
      <c r="H2030" s="7" t="s">
        <v>1581</v>
      </c>
      <c r="I2030" s="256">
        <v>96</v>
      </c>
      <c r="J2030" s="256">
        <v>14767.009021245791</v>
      </c>
      <c r="K2030" s="38">
        <f t="shared" si="110"/>
        <v>1417633</v>
      </c>
      <c r="L2030" s="566" t="s">
        <v>167</v>
      </c>
      <c r="M2030" s="566" t="s">
        <v>165</v>
      </c>
      <c r="N2030" s="52" t="str">
        <f>IF(AND('331-CT'!$E$7=TH!H2030,OR(L2030="331",M2030="331")),"331",IF(AND(OR(L2030="131",M2030="131"),H2030='131-CT'!$E$7),"131",""))</f>
        <v/>
      </c>
      <c r="O2030" s="857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0"/>
      <c r="AC2030" s="557"/>
      <c r="AD2030" s="557"/>
    </row>
    <row r="2031" spans="1:30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12"/>
        <v>1</v>
      </c>
      <c r="C2031" s="184">
        <f t="shared" si="111"/>
        <v>42376</v>
      </c>
      <c r="D2031" s="184" t="s">
        <v>1579</v>
      </c>
      <c r="E2031" s="184">
        <v>42376</v>
      </c>
      <c r="F2031" s="189" t="s">
        <v>1244</v>
      </c>
      <c r="G2031" s="567" t="s">
        <v>909</v>
      </c>
      <c r="H2031" s="7" t="s">
        <v>1581</v>
      </c>
      <c r="I2031" s="256">
        <v>500</v>
      </c>
      <c r="J2031" s="256">
        <v>13765.855867263024</v>
      </c>
      <c r="K2031" s="38">
        <f t="shared" si="110"/>
        <v>6882928</v>
      </c>
      <c r="L2031" s="566" t="s">
        <v>167</v>
      </c>
      <c r="M2031" s="566" t="s">
        <v>165</v>
      </c>
      <c r="N2031" s="52" t="str">
        <f>IF(AND('331-CT'!$E$7=TH!H2031,OR(L2031="331",M2031="331")),"331",IF(AND(OR(L2031="131",M2031="131"),H2031='131-CT'!$E$7),"131",""))</f>
        <v/>
      </c>
      <c r="O2031" s="857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0"/>
      <c r="AC2031" s="557"/>
      <c r="AD2031" s="557"/>
    </row>
    <row r="2032" spans="1:30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12"/>
        <v>1</v>
      </c>
      <c r="C2032" s="184">
        <f t="shared" si="111"/>
        <v>42376</v>
      </c>
      <c r="D2032" s="184" t="s">
        <v>1579</v>
      </c>
      <c r="E2032" s="184">
        <v>42376</v>
      </c>
      <c r="F2032" s="189" t="s">
        <v>1245</v>
      </c>
      <c r="G2032" s="567" t="s">
        <v>909</v>
      </c>
      <c r="H2032" s="7" t="s">
        <v>1581</v>
      </c>
      <c r="I2032" s="256">
        <v>86</v>
      </c>
      <c r="J2032" s="256">
        <v>9093.8078153434526</v>
      </c>
      <c r="K2032" s="38">
        <f t="shared" si="110"/>
        <v>782067</v>
      </c>
      <c r="L2032" s="566" t="s">
        <v>167</v>
      </c>
      <c r="M2032" s="566" t="s">
        <v>165</v>
      </c>
      <c r="N2032" s="52" t="str">
        <f>IF(AND('331-CT'!$E$7=TH!H2032,OR(L2032="331",M2032="331")),"331",IF(AND(OR(L2032="131",M2032="131"),H2032='131-CT'!$E$7),"131",""))</f>
        <v/>
      </c>
      <c r="O2032" s="857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0"/>
      <c r="AC2032" s="557"/>
      <c r="AD2032" s="557"/>
    </row>
    <row r="2033" spans="1:30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12"/>
        <v>1</v>
      </c>
      <c r="C2033" s="184">
        <f t="shared" si="111"/>
        <v>42376</v>
      </c>
      <c r="D2033" s="184" t="s">
        <v>1579</v>
      </c>
      <c r="E2033" s="184">
        <v>42376</v>
      </c>
      <c r="F2033" s="189" t="s">
        <v>910</v>
      </c>
      <c r="G2033" s="567" t="s">
        <v>911</v>
      </c>
      <c r="H2033" s="7" t="s">
        <v>1581</v>
      </c>
      <c r="I2033" s="256">
        <v>22</v>
      </c>
      <c r="J2033" s="256">
        <v>38460.96699883791</v>
      </c>
      <c r="K2033" s="38">
        <f t="shared" si="110"/>
        <v>846141</v>
      </c>
      <c r="L2033" s="566" t="s">
        <v>167</v>
      </c>
      <c r="M2033" s="566" t="s">
        <v>165</v>
      </c>
      <c r="N2033" s="52" t="str">
        <f>IF(AND('331-CT'!$E$7=TH!H2033,OR(L2033="331",M2033="331")),"331",IF(AND(OR(L2033="131",M2033="131"),H2033='131-CT'!$E$7),"131",""))</f>
        <v/>
      </c>
      <c r="O2033" s="857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0"/>
      <c r="AC2033" s="557"/>
      <c r="AD2033" s="557"/>
    </row>
    <row r="2034" spans="1:30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12"/>
        <v>1</v>
      </c>
      <c r="C2034" s="184">
        <f t="shared" si="111"/>
        <v>42376</v>
      </c>
      <c r="D2034" s="184" t="s">
        <v>1579</v>
      </c>
      <c r="E2034" s="191">
        <v>42376</v>
      </c>
      <c r="F2034" s="192" t="s">
        <v>912</v>
      </c>
      <c r="G2034" s="456" t="s">
        <v>911</v>
      </c>
      <c r="H2034" s="7" t="s">
        <v>1581</v>
      </c>
      <c r="I2034" s="256">
        <v>10</v>
      </c>
      <c r="J2034" s="256">
        <v>40963.849883794821</v>
      </c>
      <c r="K2034" s="38">
        <f t="shared" si="110"/>
        <v>409638</v>
      </c>
      <c r="L2034" s="566" t="s">
        <v>167</v>
      </c>
      <c r="M2034" s="566" t="s">
        <v>165</v>
      </c>
      <c r="N2034" s="52" t="str">
        <f>IF(AND('331-CT'!$E$7=TH!H2034,OR(L2034="331",M2034="331")),"331",IF(AND(OR(L2034="131",M2034="131"),H2034='131-CT'!$E$7),"131",""))</f>
        <v/>
      </c>
      <c r="O2034" s="857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0"/>
      <c r="AC2034" s="557"/>
      <c r="AD2034" s="557"/>
    </row>
    <row r="2035" spans="1:30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12"/>
        <v>1</v>
      </c>
      <c r="C2035" s="184">
        <f t="shared" si="111"/>
        <v>42376</v>
      </c>
      <c r="D2035" s="184" t="s">
        <v>1579</v>
      </c>
      <c r="E2035" s="191">
        <v>42376</v>
      </c>
      <c r="F2035" s="192" t="s">
        <v>913</v>
      </c>
      <c r="G2035" s="456" t="s">
        <v>911</v>
      </c>
      <c r="H2035" s="7" t="s">
        <v>1581</v>
      </c>
      <c r="I2035" s="256">
        <v>10</v>
      </c>
      <c r="J2035" s="256">
        <v>54229.12917406646</v>
      </c>
      <c r="K2035" s="38">
        <f t="shared" si="110"/>
        <v>542291</v>
      </c>
      <c r="L2035" s="566" t="s">
        <v>167</v>
      </c>
      <c r="M2035" s="566" t="s">
        <v>165</v>
      </c>
      <c r="N2035" s="52" t="str">
        <f>IF(AND('331-CT'!$E$7=TH!H2035,OR(L2035="331",M2035="331")),"331",IF(AND(OR(L2035="131",M2035="131"),H2035='131-CT'!$E$7),"131",""))</f>
        <v/>
      </c>
      <c r="O2035" s="857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0"/>
      <c r="AC2035" s="557"/>
      <c r="AD2035" s="557"/>
    </row>
    <row r="2036" spans="1:30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12"/>
        <v>1</v>
      </c>
      <c r="C2036" s="184">
        <f t="shared" si="111"/>
        <v>42377</v>
      </c>
      <c r="D2036" s="184" t="s">
        <v>1579</v>
      </c>
      <c r="E2036" s="726">
        <v>42377</v>
      </c>
      <c r="F2036" s="189" t="s">
        <v>640</v>
      </c>
      <c r="G2036" s="40" t="s">
        <v>915</v>
      </c>
      <c r="H2036" s="7" t="s">
        <v>1581</v>
      </c>
      <c r="I2036" s="256">
        <v>153</v>
      </c>
      <c r="J2036" s="256">
        <v>26864.276298537541</v>
      </c>
      <c r="K2036" s="38">
        <f t="shared" si="110"/>
        <v>4110234</v>
      </c>
      <c r="L2036" s="566" t="s">
        <v>167</v>
      </c>
      <c r="M2036" s="566" t="s">
        <v>165</v>
      </c>
      <c r="N2036" s="52" t="str">
        <f>IF(AND('331-CT'!$E$7=TH!H2036,OR(L2036="331",M2036="331")),"331",IF(AND(OR(L2036="131",M2036="131"),H2036='131-CT'!$E$7),"131",""))</f>
        <v/>
      </c>
      <c r="O2036" s="857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0"/>
      <c r="AC2036" s="557"/>
    </row>
    <row r="2037" spans="1:30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12"/>
        <v>1</v>
      </c>
      <c r="C2037" s="184">
        <f t="shared" si="111"/>
        <v>42381</v>
      </c>
      <c r="D2037" s="184" t="s">
        <v>1579</v>
      </c>
      <c r="E2037" s="726">
        <v>42381</v>
      </c>
      <c r="F2037" s="291" t="s">
        <v>484</v>
      </c>
      <c r="G2037" s="40" t="s">
        <v>916</v>
      </c>
      <c r="H2037" s="7" t="s">
        <v>1581</v>
      </c>
      <c r="I2037" s="256">
        <v>287</v>
      </c>
      <c r="J2037" s="256">
        <v>16018.450463724246</v>
      </c>
      <c r="K2037" s="38">
        <f t="shared" si="110"/>
        <v>4597295</v>
      </c>
      <c r="L2037" s="566" t="s">
        <v>167</v>
      </c>
      <c r="M2037" s="566" t="s">
        <v>165</v>
      </c>
      <c r="N2037" s="52" t="str">
        <f>IF(AND('331-CT'!$E$7=TH!H2037,OR(L2037="331",M2037="331")),"331",IF(AND(OR(L2037="131",M2037="131"),H2037='131-CT'!$E$7),"131",""))</f>
        <v/>
      </c>
      <c r="O2037" s="857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0"/>
      <c r="AC2037" s="557"/>
      <c r="AD2037" s="557"/>
    </row>
    <row r="2038" spans="1:30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12"/>
        <v>1</v>
      </c>
      <c r="C2038" s="184">
        <f t="shared" si="111"/>
        <v>42382</v>
      </c>
      <c r="D2038" s="184" t="s">
        <v>1579</v>
      </c>
      <c r="E2038" s="726">
        <v>42382</v>
      </c>
      <c r="F2038" s="189" t="s">
        <v>570</v>
      </c>
      <c r="G2038" s="40" t="s">
        <v>917</v>
      </c>
      <c r="H2038" s="7" t="s">
        <v>1581</v>
      </c>
      <c r="I2038" s="753">
        <v>504</v>
      </c>
      <c r="J2038" s="256">
        <v>8092.654661360687</v>
      </c>
      <c r="K2038" s="38">
        <f t="shared" si="110"/>
        <v>4078698</v>
      </c>
      <c r="L2038" s="566" t="s">
        <v>167</v>
      </c>
      <c r="M2038" s="566" t="s">
        <v>165</v>
      </c>
      <c r="N2038" s="52" t="str">
        <f>IF(AND('331-CT'!$E$7=TH!H2038,OR(L2038="331",M2038="331")),"331",IF(AND(OR(L2038="131",M2038="131"),H2038='131-CT'!$E$7),"131",""))</f>
        <v/>
      </c>
      <c r="O2038" s="857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0"/>
      <c r="AC2038" s="557"/>
      <c r="AD2038" s="557"/>
    </row>
    <row r="2039" spans="1:30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12"/>
        <v>1</v>
      </c>
      <c r="C2039" s="184">
        <f t="shared" si="111"/>
        <v>42382</v>
      </c>
      <c r="D2039" s="184" t="s">
        <v>1579</v>
      </c>
      <c r="E2039" s="726">
        <v>42382</v>
      </c>
      <c r="F2039" s="40" t="s">
        <v>445</v>
      </c>
      <c r="G2039" s="40" t="s">
        <v>918</v>
      </c>
      <c r="H2039" s="7" t="s">
        <v>1581</v>
      </c>
      <c r="I2039" s="256">
        <v>132</v>
      </c>
      <c r="J2039" s="256">
        <v>11179.543552807549</v>
      </c>
      <c r="K2039" s="38">
        <f t="shared" si="110"/>
        <v>1475700</v>
      </c>
      <c r="L2039" s="566" t="s">
        <v>167</v>
      </c>
      <c r="M2039" s="566" t="s">
        <v>165</v>
      </c>
      <c r="N2039" s="52" t="str">
        <f>IF(AND('331-CT'!$E$7=TH!H2039,OR(L2039="331",M2039="331")),"331",IF(AND(OR(L2039="131",M2039="131"),H2039='131-CT'!$E$7),"131",""))</f>
        <v/>
      </c>
      <c r="O2039" s="857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0"/>
      <c r="AC2039" s="557"/>
      <c r="AD2039" s="557"/>
    </row>
    <row r="2040" spans="1:30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12"/>
        <v>1</v>
      </c>
      <c r="C2040" s="184">
        <f t="shared" si="111"/>
        <v>42382</v>
      </c>
      <c r="D2040" s="184" t="s">
        <v>1579</v>
      </c>
      <c r="E2040" s="726">
        <v>42382</v>
      </c>
      <c r="F2040" s="189" t="s">
        <v>507</v>
      </c>
      <c r="G2040" s="40" t="s">
        <v>918</v>
      </c>
      <c r="H2040" s="7" t="s">
        <v>1581</v>
      </c>
      <c r="I2040" s="256">
        <v>222</v>
      </c>
      <c r="J2040" s="256">
        <v>7758.9369433664324</v>
      </c>
      <c r="K2040" s="38">
        <f t="shared" si="110"/>
        <v>1722484</v>
      </c>
      <c r="L2040" s="566" t="s">
        <v>167</v>
      </c>
      <c r="M2040" s="566" t="s">
        <v>165</v>
      </c>
      <c r="N2040" s="52" t="str">
        <f>IF(AND('331-CT'!$E$7=TH!H2040,OR(L2040="331",M2040="331")),"331",IF(AND(OR(L2040="131",M2040="131"),H2040='131-CT'!$E$7),"131",""))</f>
        <v/>
      </c>
      <c r="O2040" s="857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790"/>
      <c r="AC2040" s="557"/>
    </row>
    <row r="2041" spans="1:30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12"/>
        <v>1</v>
      </c>
      <c r="C2041" s="184">
        <f t="shared" si="111"/>
        <v>42383</v>
      </c>
      <c r="D2041" s="184" t="s">
        <v>1579</v>
      </c>
      <c r="E2041" s="726">
        <v>42383</v>
      </c>
      <c r="F2041" s="189" t="s">
        <v>445</v>
      </c>
      <c r="G2041" s="40" t="s">
        <v>863</v>
      </c>
      <c r="H2041" s="7" t="s">
        <v>1581</v>
      </c>
      <c r="I2041" s="753">
        <v>273</v>
      </c>
      <c r="J2041" s="256">
        <v>11096.114123308984</v>
      </c>
      <c r="K2041" s="38">
        <f t="shared" si="110"/>
        <v>3029239</v>
      </c>
      <c r="L2041" s="566" t="s">
        <v>167</v>
      </c>
      <c r="M2041" s="566" t="s">
        <v>165</v>
      </c>
      <c r="N2041" s="52" t="str">
        <f>IF(AND('331-CT'!$E$7=TH!H2041,OR(L2041="331",M2041="331")),"331",IF(AND(OR(L2041="131",M2041="131"),H2041='131-CT'!$E$7),"131",""))</f>
        <v/>
      </c>
      <c r="O2041" s="857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0"/>
      <c r="AC2041" s="557"/>
      <c r="AD2041" s="557"/>
    </row>
    <row r="2042" spans="1:30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12"/>
        <v>1</v>
      </c>
      <c r="C2042" s="184">
        <f t="shared" si="111"/>
        <v>42383</v>
      </c>
      <c r="D2042" s="184" t="s">
        <v>1579</v>
      </c>
      <c r="E2042" s="726">
        <v>42383</v>
      </c>
      <c r="F2042" s="189" t="s">
        <v>993</v>
      </c>
      <c r="G2042" s="40" t="s">
        <v>863</v>
      </c>
      <c r="H2042" s="7" t="s">
        <v>1581</v>
      </c>
      <c r="I2042" s="753">
        <v>500</v>
      </c>
      <c r="J2042" s="256">
        <v>19856.204220658179</v>
      </c>
      <c r="K2042" s="38">
        <f t="shared" si="110"/>
        <v>9928102</v>
      </c>
      <c r="L2042" s="566" t="s">
        <v>167</v>
      </c>
      <c r="M2042" s="566" t="s">
        <v>165</v>
      </c>
      <c r="N2042" s="52" t="str">
        <f>IF(AND('331-CT'!$E$7=TH!H2042,OR(L2042="331",M2042="331")),"331",IF(AND(OR(L2042="131",M2042="131"),H2042='131-CT'!$E$7),"131",""))</f>
        <v/>
      </c>
      <c r="O2042" s="857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0"/>
      <c r="AC2042" s="557"/>
      <c r="AD2042" s="557"/>
    </row>
    <row r="2043" spans="1:30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12"/>
        <v>1</v>
      </c>
      <c r="C2043" s="184">
        <f t="shared" si="111"/>
        <v>42383</v>
      </c>
      <c r="D2043" s="184" t="s">
        <v>1579</v>
      </c>
      <c r="E2043" s="726">
        <v>42383</v>
      </c>
      <c r="F2043" s="189" t="s">
        <v>676</v>
      </c>
      <c r="G2043" s="40" t="s">
        <v>864</v>
      </c>
      <c r="H2043" s="7" t="s">
        <v>1581</v>
      </c>
      <c r="I2043" s="753">
        <v>1000</v>
      </c>
      <c r="J2043" s="256">
        <v>6590.924930386539</v>
      </c>
      <c r="K2043" s="38">
        <f t="shared" si="110"/>
        <v>6590925</v>
      </c>
      <c r="L2043" s="566" t="s">
        <v>167</v>
      </c>
      <c r="M2043" s="566" t="s">
        <v>165</v>
      </c>
      <c r="N2043" s="52" t="str">
        <f>IF(AND('331-CT'!$E$7=TH!H2043,OR(L2043="331",M2043="331")),"331",IF(AND(OR(L2043="131",M2043="131"),H2043='131-CT'!$E$7),"131",""))</f>
        <v/>
      </c>
      <c r="O2043" s="857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0"/>
      <c r="AC2043" s="557"/>
    </row>
    <row r="2044" spans="1:30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12"/>
        <v>1</v>
      </c>
      <c r="C2044" s="184">
        <f t="shared" si="111"/>
        <v>42383</v>
      </c>
      <c r="D2044" s="184" t="s">
        <v>1579</v>
      </c>
      <c r="E2044" s="191">
        <v>42383</v>
      </c>
      <c r="F2044" s="192" t="s">
        <v>1465</v>
      </c>
      <c r="G2044" s="456" t="s">
        <v>919</v>
      </c>
      <c r="H2044" s="7" t="s">
        <v>1581</v>
      </c>
      <c r="I2044" s="256">
        <v>100</v>
      </c>
      <c r="J2044" s="256">
        <v>8509.8018088535064</v>
      </c>
      <c r="K2044" s="38">
        <f t="shared" si="110"/>
        <v>850980</v>
      </c>
      <c r="L2044" s="566" t="s">
        <v>167</v>
      </c>
      <c r="M2044" s="566" t="s">
        <v>165</v>
      </c>
      <c r="N2044" s="52" t="str">
        <f>IF(AND('331-CT'!$E$7=TH!H2044,OR(L2044="331",M2044="331")),"331",IF(AND(OR(L2044="131",M2044="131"),H2044='131-CT'!$E$7),"131",""))</f>
        <v/>
      </c>
      <c r="O2044" s="857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0"/>
      <c r="AC2044" s="557"/>
      <c r="AD2044" s="557"/>
    </row>
    <row r="2045" spans="1:30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12"/>
        <v>1</v>
      </c>
      <c r="C2045" s="184">
        <f t="shared" si="111"/>
        <v>42383</v>
      </c>
      <c r="D2045" s="184" t="s">
        <v>1579</v>
      </c>
      <c r="E2045" s="191">
        <v>42383</v>
      </c>
      <c r="F2045" s="192" t="s">
        <v>1466</v>
      </c>
      <c r="G2045" s="456" t="s">
        <v>919</v>
      </c>
      <c r="H2045" s="7" t="s">
        <v>1581</v>
      </c>
      <c r="I2045" s="256">
        <v>20</v>
      </c>
      <c r="J2045" s="256">
        <v>9761.2432513319618</v>
      </c>
      <c r="K2045" s="38">
        <f t="shared" si="110"/>
        <v>195225</v>
      </c>
      <c r="L2045" s="566" t="s">
        <v>167</v>
      </c>
      <c r="M2045" s="566" t="s">
        <v>165</v>
      </c>
      <c r="N2045" s="52" t="str">
        <f>IF(AND('331-CT'!$E$7=TH!H2045,OR(L2045="331",M2045="331")),"331",IF(AND(OR(L2045="131",M2045="131"),H2045='131-CT'!$E$7),"131",""))</f>
        <v/>
      </c>
      <c r="O2045" s="857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0"/>
      <c r="AC2045" s="557"/>
      <c r="AD2045" s="557"/>
    </row>
    <row r="2046" spans="1:30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12"/>
        <v>1</v>
      </c>
      <c r="C2046" s="184">
        <f t="shared" si="111"/>
        <v>42383</v>
      </c>
      <c r="D2046" s="184" t="s">
        <v>1579</v>
      </c>
      <c r="E2046" s="191">
        <v>42383</v>
      </c>
      <c r="F2046" s="192" t="s">
        <v>1337</v>
      </c>
      <c r="G2046" s="456" t="s">
        <v>919</v>
      </c>
      <c r="H2046" s="7" t="s">
        <v>1581</v>
      </c>
      <c r="I2046" s="256">
        <v>20</v>
      </c>
      <c r="J2046" s="256">
        <v>10345.24925782191</v>
      </c>
      <c r="K2046" s="38">
        <f t="shared" si="110"/>
        <v>206905</v>
      </c>
      <c r="L2046" s="566" t="s">
        <v>167</v>
      </c>
      <c r="M2046" s="566" t="s">
        <v>165</v>
      </c>
      <c r="N2046" s="52" t="str">
        <f>IF(AND('331-CT'!$E$7=TH!H2046,OR(L2046="331",M2046="331")),"331",IF(AND(OR(L2046="131",M2046="131"),H2046='131-CT'!$E$7),"131",""))</f>
        <v/>
      </c>
      <c r="O2046" s="857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0"/>
      <c r="AC2046" s="557"/>
      <c r="AD2046" s="557"/>
    </row>
    <row r="2047" spans="1:30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12"/>
        <v>1</v>
      </c>
      <c r="C2047" s="184">
        <f t="shared" si="111"/>
        <v>42383</v>
      </c>
      <c r="D2047" s="184" t="s">
        <v>1579</v>
      </c>
      <c r="E2047" s="191">
        <v>42383</v>
      </c>
      <c r="F2047" s="192" t="s">
        <v>1341</v>
      </c>
      <c r="G2047" s="456" t="s">
        <v>919</v>
      </c>
      <c r="H2047" s="7" t="s">
        <v>1581</v>
      </c>
      <c r="I2047" s="256">
        <v>20</v>
      </c>
      <c r="J2047" s="256">
        <v>9093.8078153434526</v>
      </c>
      <c r="K2047" s="38">
        <f t="shared" si="110"/>
        <v>181876</v>
      </c>
      <c r="L2047" s="566" t="s">
        <v>167</v>
      </c>
      <c r="M2047" s="566" t="s">
        <v>165</v>
      </c>
      <c r="N2047" s="52" t="str">
        <f>IF(AND('331-CT'!$E$7=TH!H2047,OR(L2047="331",M2047="331")),"331",IF(AND(OR(L2047="131",M2047="131"),H2047='131-CT'!$E$7),"131",""))</f>
        <v/>
      </c>
      <c r="O2047" s="857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0"/>
      <c r="AC2047" s="557"/>
      <c r="AD2047" s="557"/>
    </row>
    <row r="2048" spans="1:30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12"/>
        <v>1</v>
      </c>
      <c r="C2048" s="184">
        <f t="shared" si="111"/>
        <v>42383</v>
      </c>
      <c r="D2048" s="184" t="s">
        <v>1579</v>
      </c>
      <c r="E2048" s="191">
        <v>42383</v>
      </c>
      <c r="F2048" s="192" t="s">
        <v>1474</v>
      </c>
      <c r="G2048" s="456" t="s">
        <v>920</v>
      </c>
      <c r="H2048" s="7" t="s">
        <v>1581</v>
      </c>
      <c r="I2048" s="256">
        <v>314</v>
      </c>
      <c r="J2048" s="256">
        <v>11012.684693810421</v>
      </c>
      <c r="K2048" s="38">
        <f t="shared" si="110"/>
        <v>3457983</v>
      </c>
      <c r="L2048" s="566" t="s">
        <v>167</v>
      </c>
      <c r="M2048" s="566" t="s">
        <v>165</v>
      </c>
      <c r="N2048" s="52" t="str">
        <f>IF(AND('331-CT'!$E$7=TH!H2048,OR(L2048="331",M2048="331")),"331",IF(AND(OR(L2048="131",M2048="131"),H2048='131-CT'!$E$7),"131",""))</f>
        <v/>
      </c>
      <c r="O2048" s="857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0"/>
      <c r="AC2048" s="557"/>
      <c r="AD2048" s="557"/>
    </row>
    <row r="2049" spans="1:30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12"/>
        <v>1</v>
      </c>
      <c r="C2049" s="184">
        <f t="shared" si="111"/>
        <v>42383</v>
      </c>
      <c r="D2049" s="184" t="s">
        <v>1579</v>
      </c>
      <c r="E2049" s="191">
        <v>42383</v>
      </c>
      <c r="F2049" s="192" t="s">
        <v>689</v>
      </c>
      <c r="G2049" s="456" t="s">
        <v>921</v>
      </c>
      <c r="H2049" s="7" t="s">
        <v>1581</v>
      </c>
      <c r="I2049" s="256">
        <v>214</v>
      </c>
      <c r="J2049" s="256">
        <v>12013.837847793186</v>
      </c>
      <c r="K2049" s="38">
        <f t="shared" si="110"/>
        <v>2570961</v>
      </c>
      <c r="L2049" s="566" t="s">
        <v>167</v>
      </c>
      <c r="M2049" s="566" t="s">
        <v>165</v>
      </c>
      <c r="N2049" s="52" t="str">
        <f>IF(AND('331-CT'!$E$7=TH!H2049,OR(L2049="331",M2049="331")),"331",IF(AND(OR(L2049="131",M2049="131"),H2049='131-CT'!$E$7),"131",""))</f>
        <v/>
      </c>
      <c r="O2049" s="857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0"/>
      <c r="AC2049" s="557"/>
      <c r="AD2049" s="557"/>
    </row>
    <row r="2050" spans="1:30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12"/>
        <v>1</v>
      </c>
      <c r="C2050" s="184">
        <f t="shared" si="111"/>
        <v>42383</v>
      </c>
      <c r="D2050" s="184" t="s">
        <v>1579</v>
      </c>
      <c r="E2050" s="191">
        <v>42383</v>
      </c>
      <c r="F2050" s="192" t="s">
        <v>688</v>
      </c>
      <c r="G2050" s="456" t="s">
        <v>921</v>
      </c>
      <c r="H2050" s="7" t="s">
        <v>1581</v>
      </c>
      <c r="I2050" s="256">
        <v>621</v>
      </c>
      <c r="J2050" s="256">
        <v>6424.0660713894113</v>
      </c>
      <c r="K2050" s="38">
        <f t="shared" si="110"/>
        <v>3989345</v>
      </c>
      <c r="L2050" s="566" t="s">
        <v>167</v>
      </c>
      <c r="M2050" s="566" t="s">
        <v>165</v>
      </c>
      <c r="N2050" s="52" t="str">
        <f>IF(AND('331-CT'!$E$7=TH!H2050,OR(L2050="331",M2050="331")),"331",IF(AND(OR(L2050="131",M2050="131"),H2050='131-CT'!$E$7),"131",""))</f>
        <v/>
      </c>
      <c r="O2050" s="857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0"/>
      <c r="AC2050" s="557"/>
      <c r="AD2050" s="557"/>
    </row>
    <row r="2051" spans="1:30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12"/>
        <v>1</v>
      </c>
      <c r="C2051" s="184">
        <f t="shared" si="111"/>
        <v>42383</v>
      </c>
      <c r="D2051" s="184" t="s">
        <v>1579</v>
      </c>
      <c r="E2051" s="191">
        <v>42383</v>
      </c>
      <c r="F2051" s="192" t="s">
        <v>728</v>
      </c>
      <c r="G2051" s="456" t="s">
        <v>922</v>
      </c>
      <c r="H2051" s="7" t="s">
        <v>1581</v>
      </c>
      <c r="I2051" s="256">
        <v>170</v>
      </c>
      <c r="J2051" s="256">
        <v>11012.684693810421</v>
      </c>
      <c r="K2051" s="38">
        <f t="shared" si="110"/>
        <v>1872156</v>
      </c>
      <c r="L2051" s="566" t="s">
        <v>167</v>
      </c>
      <c r="M2051" s="566" t="s">
        <v>165</v>
      </c>
      <c r="N2051" s="52" t="str">
        <f>IF(AND('331-CT'!$E$7=TH!H2051,OR(L2051="331",M2051="331")),"331",IF(AND(OR(L2051="131",M2051="131"),H2051='131-CT'!$E$7),"131",""))</f>
        <v/>
      </c>
      <c r="O2051" s="857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0"/>
      <c r="AC2051" s="557"/>
      <c r="AD2051" s="557"/>
    </row>
    <row r="2052" spans="1:30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12"/>
        <v>1</v>
      </c>
      <c r="C2052" s="184">
        <f t="shared" si="111"/>
        <v>42383</v>
      </c>
      <c r="D2052" s="184" t="s">
        <v>1579</v>
      </c>
      <c r="E2052" s="191">
        <v>42383</v>
      </c>
      <c r="F2052" s="192" t="s">
        <v>736</v>
      </c>
      <c r="G2052" s="456" t="s">
        <v>922</v>
      </c>
      <c r="H2052" s="7" t="s">
        <v>1581</v>
      </c>
      <c r="I2052" s="256">
        <v>40</v>
      </c>
      <c r="J2052" s="256">
        <v>8092.654661360687</v>
      </c>
      <c r="K2052" s="38">
        <f t="shared" si="110"/>
        <v>323706</v>
      </c>
      <c r="L2052" s="566" t="s">
        <v>167</v>
      </c>
      <c r="M2052" s="566" t="s">
        <v>165</v>
      </c>
      <c r="N2052" s="52" t="str">
        <f>IF(AND('331-CT'!$E$7=TH!H2052,OR(L2052="331",M2052="331")),"331",IF(AND(OR(L2052="131",M2052="131"),H2052='131-CT'!$E$7),"131",""))</f>
        <v/>
      </c>
      <c r="O2052" s="857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0"/>
      <c r="AC2052" s="557"/>
    </row>
    <row r="2053" spans="1:30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12"/>
        <v>1</v>
      </c>
      <c r="C2053" s="184">
        <f t="shared" si="111"/>
        <v>42383</v>
      </c>
      <c r="D2053" s="184" t="s">
        <v>1579</v>
      </c>
      <c r="E2053" s="37">
        <v>42383</v>
      </c>
      <c r="F2053" s="40" t="s">
        <v>1246</v>
      </c>
      <c r="G2053" s="40" t="s">
        <v>922</v>
      </c>
      <c r="H2053" s="7" t="s">
        <v>1581</v>
      </c>
      <c r="I2053" s="256">
        <v>25</v>
      </c>
      <c r="J2053" s="256">
        <v>7174.9309368764852</v>
      </c>
      <c r="K2053" s="38">
        <f t="shared" si="110"/>
        <v>179373</v>
      </c>
      <c r="L2053" s="566" t="s">
        <v>167</v>
      </c>
      <c r="M2053" s="566" t="s">
        <v>165</v>
      </c>
      <c r="N2053" s="52" t="str">
        <f>IF(AND('331-CT'!$E$7=TH!H2053,OR(L2053="331",M2053="331")),"331",IF(AND(OR(L2053="131",M2053="131"),H2053='131-CT'!$E$7),"131",""))</f>
        <v/>
      </c>
      <c r="O2053" s="857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0"/>
      <c r="AC2053" s="557"/>
      <c r="AD2053" s="557"/>
    </row>
    <row r="2054" spans="1:30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12"/>
        <v>1</v>
      </c>
      <c r="C2054" s="184">
        <f t="shared" si="111"/>
        <v>42383</v>
      </c>
      <c r="D2054" s="184" t="s">
        <v>1579</v>
      </c>
      <c r="E2054" s="37">
        <v>42383</v>
      </c>
      <c r="F2054" s="40" t="s">
        <v>1247</v>
      </c>
      <c r="G2054" s="40" t="s">
        <v>922</v>
      </c>
      <c r="H2054" s="7" t="s">
        <v>1581</v>
      </c>
      <c r="I2054" s="256">
        <v>10</v>
      </c>
      <c r="J2054" s="256">
        <v>9344.0961038391451</v>
      </c>
      <c r="K2054" s="38">
        <f t="shared" si="110"/>
        <v>93441</v>
      </c>
      <c r="L2054" s="566" t="s">
        <v>167</v>
      </c>
      <c r="M2054" s="566" t="s">
        <v>165</v>
      </c>
      <c r="N2054" s="52" t="str">
        <f>IF(AND('331-CT'!$E$7=TH!H2054,OR(L2054="331",M2054="331")),"331",IF(AND(OR(L2054="131",M2054="131"),H2054='131-CT'!$E$7),"131",""))</f>
        <v/>
      </c>
      <c r="O2054" s="857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0"/>
      <c r="AC2054" s="557"/>
    </row>
    <row r="2055" spans="1:30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12"/>
        <v>1</v>
      </c>
      <c r="C2055" s="184">
        <f t="shared" si="111"/>
        <v>42383</v>
      </c>
      <c r="D2055" s="184" t="s">
        <v>1579</v>
      </c>
      <c r="E2055" s="37">
        <v>42383</v>
      </c>
      <c r="F2055" s="192" t="s">
        <v>1248</v>
      </c>
      <c r="G2055" s="40" t="s">
        <v>922</v>
      </c>
      <c r="H2055" s="7" t="s">
        <v>1581</v>
      </c>
      <c r="I2055" s="256">
        <v>580</v>
      </c>
      <c r="J2055" s="256">
        <v>8843.5195268477619</v>
      </c>
      <c r="K2055" s="38">
        <f t="shared" si="110"/>
        <v>5129241</v>
      </c>
      <c r="L2055" s="566" t="s">
        <v>167</v>
      </c>
      <c r="M2055" s="566" t="s">
        <v>165</v>
      </c>
      <c r="N2055" s="52" t="str">
        <f>IF(AND('331-CT'!$E$7=TH!H2055,OR(L2055="331",M2055="331")),"331",IF(AND(OR(L2055="131",M2055="131"),H2055='131-CT'!$E$7),"131",""))</f>
        <v/>
      </c>
      <c r="O2055" s="857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0"/>
      <c r="AC2055" s="557"/>
      <c r="AD2055" s="557"/>
    </row>
    <row r="2056" spans="1:30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12"/>
        <v>1</v>
      </c>
      <c r="C2056" s="184">
        <f t="shared" si="111"/>
        <v>42383</v>
      </c>
      <c r="D2056" s="184" t="s">
        <v>1579</v>
      </c>
      <c r="E2056" s="37">
        <v>42383</v>
      </c>
      <c r="F2056" s="40" t="s">
        <v>1249</v>
      </c>
      <c r="G2056" s="40" t="s">
        <v>922</v>
      </c>
      <c r="H2056" s="7" t="s">
        <v>1581</v>
      </c>
      <c r="I2056" s="256">
        <v>900</v>
      </c>
      <c r="J2056" s="256">
        <v>7925.7958023635592</v>
      </c>
      <c r="K2056" s="38">
        <f t="shared" si="110"/>
        <v>7133216</v>
      </c>
      <c r="L2056" s="566" t="s">
        <v>167</v>
      </c>
      <c r="M2056" s="566" t="s">
        <v>165</v>
      </c>
      <c r="N2056" s="52" t="str">
        <f>IF(AND('331-CT'!$E$7=TH!H2056,OR(L2056="331",M2056="331")),"331",IF(AND(OR(L2056="131",M2056="131"),H2056='131-CT'!$E$7),"131",""))</f>
        <v/>
      </c>
      <c r="O2056" s="857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0"/>
      <c r="AC2056" s="557"/>
      <c r="AD2056" s="557"/>
    </row>
    <row r="2057" spans="1:30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12"/>
        <v>1</v>
      </c>
      <c r="C2057" s="184">
        <f t="shared" si="111"/>
        <v>42383</v>
      </c>
      <c r="D2057" s="184" t="s">
        <v>1579</v>
      </c>
      <c r="E2057" s="37">
        <v>42383</v>
      </c>
      <c r="F2057" s="192" t="s">
        <v>1250</v>
      </c>
      <c r="G2057" s="40" t="s">
        <v>922</v>
      </c>
      <c r="H2057" s="7" t="s">
        <v>1581</v>
      </c>
      <c r="I2057" s="256">
        <v>12</v>
      </c>
      <c r="J2057" s="256">
        <v>6006.9189238965928</v>
      </c>
      <c r="K2057" s="38">
        <f t="shared" si="110"/>
        <v>72083</v>
      </c>
      <c r="L2057" s="566" t="s">
        <v>167</v>
      </c>
      <c r="M2057" s="566" t="s">
        <v>165</v>
      </c>
      <c r="N2057" s="52" t="str">
        <f>IF(AND('331-CT'!$E$7=TH!H2057,OR(L2057="331",M2057="331")),"331",IF(AND(OR(L2057="131",M2057="131"),H2057='131-CT'!$E$7),"131",""))</f>
        <v/>
      </c>
      <c r="O2057" s="857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0"/>
      <c r="AC2057" s="557"/>
    </row>
    <row r="2058" spans="1:30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12"/>
        <v>1</v>
      </c>
      <c r="C2058" s="184">
        <f t="shared" si="111"/>
        <v>42383</v>
      </c>
      <c r="D2058" s="184" t="s">
        <v>1579</v>
      </c>
      <c r="E2058" s="37">
        <v>42383</v>
      </c>
      <c r="F2058" s="40" t="s">
        <v>1251</v>
      </c>
      <c r="G2058" s="40" t="s">
        <v>922</v>
      </c>
      <c r="H2058" s="7" t="s">
        <v>1581</v>
      </c>
      <c r="I2058" s="256">
        <v>13</v>
      </c>
      <c r="J2058" s="256">
        <v>7675.5075138678685</v>
      </c>
      <c r="K2058" s="38">
        <f t="shared" si="110"/>
        <v>99782</v>
      </c>
      <c r="L2058" s="566" t="s">
        <v>167</v>
      </c>
      <c r="M2058" s="566" t="s">
        <v>165</v>
      </c>
      <c r="N2058" s="52" t="str">
        <f>IF(AND('331-CT'!$E$7=TH!H2058,OR(L2058="331",M2058="331")),"331",IF(AND(OR(L2058="131",M2058="131"),H2058='131-CT'!$E$7),"131",""))</f>
        <v/>
      </c>
      <c r="O2058" s="857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0"/>
      <c r="AC2058" s="557"/>
      <c r="AD2058" s="557"/>
    </row>
    <row r="2059" spans="1:30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12"/>
        <v>1</v>
      </c>
      <c r="C2059" s="184">
        <f t="shared" si="111"/>
        <v>42385</v>
      </c>
      <c r="D2059" s="184" t="s">
        <v>1579</v>
      </c>
      <c r="E2059" s="37">
        <v>42385</v>
      </c>
      <c r="F2059" s="40" t="s">
        <v>471</v>
      </c>
      <c r="G2059" s="40" t="s">
        <v>923</v>
      </c>
      <c r="H2059" s="7" t="s">
        <v>1581</v>
      </c>
      <c r="I2059" s="256">
        <v>619</v>
      </c>
      <c r="J2059" s="256">
        <v>13181.849860773078</v>
      </c>
      <c r="K2059" s="38">
        <f t="shared" si="110"/>
        <v>8159565</v>
      </c>
      <c r="L2059" s="566" t="s">
        <v>167</v>
      </c>
      <c r="M2059" s="566" t="s">
        <v>165</v>
      </c>
      <c r="N2059" s="52" t="str">
        <f>IF(AND('331-CT'!$E$7=TH!H2059,OR(L2059="331",M2059="331")),"331",IF(AND(OR(L2059="131",M2059="131"),H2059='131-CT'!$E$7),"131",""))</f>
        <v/>
      </c>
      <c r="O2059" s="857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0"/>
      <c r="AC2059" s="557"/>
      <c r="AD2059" s="557"/>
    </row>
    <row r="2060" spans="1:30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12"/>
        <v>1</v>
      </c>
      <c r="C2060" s="184">
        <f t="shared" si="111"/>
        <v>42385</v>
      </c>
      <c r="D2060" s="184" t="s">
        <v>1579</v>
      </c>
      <c r="E2060" s="37">
        <v>42385</v>
      </c>
      <c r="F2060" s="40" t="s">
        <v>924</v>
      </c>
      <c r="G2060" s="40" t="s">
        <v>925</v>
      </c>
      <c r="H2060" s="7" t="s">
        <v>1581</v>
      </c>
      <c r="I2060" s="256">
        <v>200</v>
      </c>
      <c r="J2060" s="256">
        <v>5256.0540584095188</v>
      </c>
      <c r="K2060" s="38">
        <f t="shared" si="110"/>
        <v>1051211</v>
      </c>
      <c r="L2060" s="566" t="s">
        <v>167</v>
      </c>
      <c r="M2060" s="566" t="s">
        <v>165</v>
      </c>
      <c r="N2060" s="52" t="str">
        <f>IF(AND('331-CT'!$E$7=TH!H2060,OR(L2060="331",M2060="331")),"331",IF(AND(OR(L2060="131",M2060="131"),H2060='131-CT'!$E$7),"131",""))</f>
        <v/>
      </c>
      <c r="O2060" s="857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0"/>
      <c r="AC2060" s="557"/>
      <c r="AD2060" s="557"/>
    </row>
    <row r="2061" spans="1:30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12"/>
        <v>1</v>
      </c>
      <c r="C2061" s="184">
        <f t="shared" si="111"/>
        <v>42385</v>
      </c>
      <c r="D2061" s="184" t="s">
        <v>1579</v>
      </c>
      <c r="E2061" s="37">
        <v>42385</v>
      </c>
      <c r="F2061" s="40" t="s">
        <v>926</v>
      </c>
      <c r="G2061" s="40" t="s">
        <v>925</v>
      </c>
      <c r="H2061" s="7" t="s">
        <v>1581</v>
      </c>
      <c r="I2061" s="256">
        <v>200</v>
      </c>
      <c r="J2061" s="256">
        <v>5506.3423469052104</v>
      </c>
      <c r="K2061" s="38">
        <f t="shared" si="110"/>
        <v>1101268</v>
      </c>
      <c r="L2061" s="566" t="s">
        <v>167</v>
      </c>
      <c r="M2061" s="566" t="s">
        <v>165</v>
      </c>
      <c r="N2061" s="52" t="str">
        <f>IF(AND('331-CT'!$E$7=TH!H2061,OR(L2061="331",M2061="331")),"331",IF(AND(OR(L2061="131",M2061="131"),H2061='131-CT'!$E$7),"131",""))</f>
        <v/>
      </c>
      <c r="O2061" s="857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0"/>
      <c r="AC2061" s="557"/>
      <c r="AD2061" s="557"/>
    </row>
    <row r="2062" spans="1:30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12"/>
        <v>1</v>
      </c>
      <c r="C2062" s="184">
        <f t="shared" si="111"/>
        <v>42385</v>
      </c>
      <c r="D2062" s="184" t="s">
        <v>1579</v>
      </c>
      <c r="E2062" s="37">
        <v>42385</v>
      </c>
      <c r="F2062" s="40" t="s">
        <v>927</v>
      </c>
      <c r="G2062" s="40" t="s">
        <v>925</v>
      </c>
      <c r="H2062" s="7" t="s">
        <v>1581</v>
      </c>
      <c r="I2062" s="256">
        <v>200</v>
      </c>
      <c r="J2062" s="256">
        <v>5339.4834879080827</v>
      </c>
      <c r="K2062" s="38">
        <f t="shared" si="110"/>
        <v>1067897</v>
      </c>
      <c r="L2062" s="566" t="s">
        <v>167</v>
      </c>
      <c r="M2062" s="566" t="s">
        <v>165</v>
      </c>
      <c r="N2062" s="52" t="str">
        <f>IF(AND('331-CT'!$E$7=TH!H2062,OR(L2062="331",M2062="331")),"331",IF(AND(OR(L2062="131",M2062="131"),H2062='131-CT'!$E$7),"131",""))</f>
        <v/>
      </c>
      <c r="O2062" s="857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0"/>
      <c r="AC2062" s="557"/>
      <c r="AD2062" s="557"/>
    </row>
    <row r="2063" spans="1:30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12"/>
        <v>1</v>
      </c>
      <c r="C2063" s="184">
        <f t="shared" si="111"/>
        <v>42388</v>
      </c>
      <c r="D2063" s="184" t="s">
        <v>1579</v>
      </c>
      <c r="E2063" s="37">
        <v>42388</v>
      </c>
      <c r="F2063" s="192" t="s">
        <v>928</v>
      </c>
      <c r="G2063" s="40" t="s">
        <v>929</v>
      </c>
      <c r="H2063" s="7" t="s">
        <v>1581</v>
      </c>
      <c r="I2063" s="256">
        <v>35</v>
      </c>
      <c r="J2063" s="256">
        <v>12097.267277291749</v>
      </c>
      <c r="K2063" s="38">
        <f t="shared" si="110"/>
        <v>423404</v>
      </c>
      <c r="L2063" s="566" t="s">
        <v>167</v>
      </c>
      <c r="M2063" s="566" t="s">
        <v>165</v>
      </c>
      <c r="N2063" s="52" t="str">
        <f>IF(AND('331-CT'!$E$7=TH!H2063,OR(L2063="331",M2063="331")),"331",IF(AND(OR(L2063="131",M2063="131"),H2063='131-CT'!$E$7),"131",""))</f>
        <v/>
      </c>
      <c r="O2063" s="857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0"/>
      <c r="AC2063" s="557"/>
      <c r="AD2063" s="557"/>
    </row>
    <row r="2064" spans="1:30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12"/>
        <v>1</v>
      </c>
      <c r="C2064" s="184">
        <f t="shared" si="111"/>
        <v>42388</v>
      </c>
      <c r="D2064" s="184" t="s">
        <v>1579</v>
      </c>
      <c r="E2064" s="37">
        <v>42388</v>
      </c>
      <c r="F2064" s="40" t="s">
        <v>930</v>
      </c>
      <c r="G2064" s="40" t="s">
        <v>929</v>
      </c>
      <c r="H2064" s="7" t="s">
        <v>1581</v>
      </c>
      <c r="I2064" s="256">
        <v>55</v>
      </c>
      <c r="J2064" s="256">
        <v>10595.537546317601</v>
      </c>
      <c r="K2064" s="38">
        <f t="shared" si="110"/>
        <v>582755</v>
      </c>
      <c r="L2064" s="566" t="s">
        <v>167</v>
      </c>
      <c r="M2064" s="566" t="s">
        <v>165</v>
      </c>
      <c r="N2064" s="52" t="str">
        <f>IF(AND('331-CT'!$E$7=TH!H2064,OR(L2064="331",M2064="331")),"331",IF(AND(OR(L2064="131",M2064="131"),H2064='131-CT'!$E$7),"131",""))</f>
        <v/>
      </c>
      <c r="O2064" s="857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0"/>
      <c r="AC2064" s="557"/>
    </row>
    <row r="2065" spans="1:30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12"/>
        <v>1</v>
      </c>
      <c r="C2065" s="184">
        <f t="shared" si="111"/>
        <v>42388</v>
      </c>
      <c r="D2065" s="184" t="s">
        <v>1579</v>
      </c>
      <c r="E2065" s="37">
        <v>42388</v>
      </c>
      <c r="F2065" s="192" t="s">
        <v>931</v>
      </c>
      <c r="G2065" s="40" t="s">
        <v>929</v>
      </c>
      <c r="H2065" s="7" t="s">
        <v>1581</v>
      </c>
      <c r="I2065" s="256">
        <v>50</v>
      </c>
      <c r="J2065" s="256">
        <v>11429.831841303239</v>
      </c>
      <c r="K2065" s="38">
        <f t="shared" si="110"/>
        <v>571492</v>
      </c>
      <c r="L2065" s="566" t="s">
        <v>167</v>
      </c>
      <c r="M2065" s="566" t="s">
        <v>165</v>
      </c>
      <c r="N2065" s="52" t="str">
        <f>IF(AND('331-CT'!$E$7=TH!H2065,OR(L2065="331",M2065="331")),"331",IF(AND(OR(L2065="131",M2065="131"),H2065='131-CT'!$E$7),"131",""))</f>
        <v/>
      </c>
      <c r="O2065" s="857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0"/>
      <c r="AC2065" s="557"/>
      <c r="AD2065" s="557"/>
    </row>
    <row r="2066" spans="1:30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12"/>
        <v>1</v>
      </c>
      <c r="C2066" s="184">
        <f t="shared" si="111"/>
        <v>42388</v>
      </c>
      <c r="D2066" s="184" t="s">
        <v>1579</v>
      </c>
      <c r="E2066" s="37">
        <v>42388</v>
      </c>
      <c r="F2066" s="40" t="s">
        <v>510</v>
      </c>
      <c r="G2066" s="40" t="s">
        <v>929</v>
      </c>
      <c r="H2066" s="7" t="s">
        <v>1581</v>
      </c>
      <c r="I2066" s="256">
        <v>510</v>
      </c>
      <c r="J2066" s="256">
        <v>10595.537546317601</v>
      </c>
      <c r="K2066" s="38">
        <f t="shared" si="110"/>
        <v>5403724</v>
      </c>
      <c r="L2066" s="566" t="s">
        <v>167</v>
      </c>
      <c r="M2066" s="566" t="s">
        <v>165</v>
      </c>
      <c r="N2066" s="52" t="str">
        <f>IF(AND('331-CT'!$E$7=TH!H2066,OR(L2066="331",M2066="331")),"331",IF(AND(OR(L2066="131",M2066="131"),H2066='131-CT'!$E$7),"131",""))</f>
        <v/>
      </c>
      <c r="O2066" s="857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0"/>
      <c r="AC2066" s="557"/>
      <c r="AD2066" s="557"/>
    </row>
    <row r="2067" spans="1:30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12"/>
        <v>1</v>
      </c>
      <c r="C2067" s="184">
        <f t="shared" si="111"/>
        <v>42388</v>
      </c>
      <c r="D2067" s="184" t="s">
        <v>1579</v>
      </c>
      <c r="E2067" s="37">
        <v>42388</v>
      </c>
      <c r="F2067" s="40" t="s">
        <v>932</v>
      </c>
      <c r="G2067" s="40" t="s">
        <v>929</v>
      </c>
      <c r="H2067" s="7" t="s">
        <v>1581</v>
      </c>
      <c r="I2067" s="256">
        <v>235</v>
      </c>
      <c r="J2067" s="256">
        <v>10178.390398824782</v>
      </c>
      <c r="K2067" s="38">
        <f t="shared" ref="K2067:K2130" si="113">ROUND(I2067*J2067,0)</f>
        <v>2391922</v>
      </c>
      <c r="L2067" s="566" t="s">
        <v>167</v>
      </c>
      <c r="M2067" s="566" t="s">
        <v>165</v>
      </c>
      <c r="N2067" s="52" t="str">
        <f>IF(AND('331-CT'!$E$7=TH!H2067,OR(L2067="331",M2067="331")),"331",IF(AND(OR(L2067="131",M2067="131"),H2067='131-CT'!$E$7),"131",""))</f>
        <v/>
      </c>
      <c r="O2067" s="857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0"/>
      <c r="AC2067" s="557"/>
      <c r="AD2067" s="557"/>
    </row>
    <row r="2068" spans="1:30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12"/>
        <v>1</v>
      </c>
      <c r="C2068" s="184">
        <f t="shared" si="111"/>
        <v>42388</v>
      </c>
      <c r="D2068" s="184" t="s">
        <v>1579</v>
      </c>
      <c r="E2068" s="37">
        <v>42388</v>
      </c>
      <c r="F2068" s="40" t="s">
        <v>511</v>
      </c>
      <c r="G2068" s="40" t="s">
        <v>929</v>
      </c>
      <c r="H2068" s="7" t="s">
        <v>1581</v>
      </c>
      <c r="I2068" s="256">
        <v>110</v>
      </c>
      <c r="J2068" s="256">
        <v>6924.6426483807936</v>
      </c>
      <c r="K2068" s="38">
        <f t="shared" si="113"/>
        <v>761711</v>
      </c>
      <c r="L2068" s="566" t="s">
        <v>167</v>
      </c>
      <c r="M2068" s="566" t="s">
        <v>165</v>
      </c>
      <c r="N2068" s="52" t="str">
        <f>IF(AND('331-CT'!$E$7=TH!H2068,OR(L2068="331",M2068="331")),"331",IF(AND(OR(L2068="131",M2068="131"),H2068='131-CT'!$E$7),"131",""))</f>
        <v/>
      </c>
      <c r="O2068" s="857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0"/>
      <c r="AC2068" s="557"/>
      <c r="AD2068" s="557"/>
    </row>
    <row r="2069" spans="1:30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12"/>
        <v>1</v>
      </c>
      <c r="C2069" s="184">
        <f t="shared" si="111"/>
        <v>42388</v>
      </c>
      <c r="D2069" s="184" t="s">
        <v>1579</v>
      </c>
      <c r="E2069" s="191">
        <v>42388</v>
      </c>
      <c r="F2069" s="192" t="s">
        <v>933</v>
      </c>
      <c r="G2069" s="456" t="s">
        <v>929</v>
      </c>
      <c r="H2069" s="7" t="s">
        <v>1581</v>
      </c>
      <c r="I2069" s="256">
        <v>24</v>
      </c>
      <c r="J2069" s="256">
        <v>8926.9489563463248</v>
      </c>
      <c r="K2069" s="38">
        <f t="shared" si="113"/>
        <v>214247</v>
      </c>
      <c r="L2069" s="566" t="s">
        <v>167</v>
      </c>
      <c r="M2069" s="566" t="s">
        <v>165</v>
      </c>
      <c r="N2069" s="52" t="str">
        <f>IF(AND('331-CT'!$E$7=TH!H2069,OR(L2069="331",M2069="331")),"331",IF(AND(OR(L2069="131",M2069="131"),H2069='131-CT'!$E$7),"131",""))</f>
        <v/>
      </c>
      <c r="O2069" s="857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0"/>
      <c r="AC2069" s="557"/>
      <c r="AD2069" s="557"/>
    </row>
    <row r="2070" spans="1:30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12"/>
        <v>1</v>
      </c>
      <c r="C2070" s="184">
        <f t="shared" si="111"/>
        <v>42388</v>
      </c>
      <c r="D2070" s="184" t="s">
        <v>1579</v>
      </c>
      <c r="E2070" s="191">
        <v>42388</v>
      </c>
      <c r="F2070" s="192" t="s">
        <v>503</v>
      </c>
      <c r="G2070" s="456" t="s">
        <v>929</v>
      </c>
      <c r="H2070" s="7" t="s">
        <v>1581</v>
      </c>
      <c r="I2070" s="256">
        <v>55</v>
      </c>
      <c r="J2070" s="256">
        <v>8259.5135203578157</v>
      </c>
      <c r="K2070" s="38">
        <f t="shared" si="113"/>
        <v>454273</v>
      </c>
      <c r="L2070" s="566" t="s">
        <v>167</v>
      </c>
      <c r="M2070" s="566" t="s">
        <v>165</v>
      </c>
      <c r="N2070" s="52" t="str">
        <f>IF(AND('331-CT'!$E$7=TH!H2070,OR(L2070="331",M2070="331")),"331",IF(AND(OR(L2070="131",M2070="131"),H2070='131-CT'!$E$7),"131",""))</f>
        <v/>
      </c>
      <c r="O2070" s="857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0"/>
      <c r="AC2070" s="557"/>
    </row>
    <row r="2071" spans="1:30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12"/>
        <v>1</v>
      </c>
      <c r="C2071" s="184">
        <f t="shared" si="111"/>
        <v>42388</v>
      </c>
      <c r="D2071" s="184" t="s">
        <v>1579</v>
      </c>
      <c r="E2071" s="191">
        <v>42388</v>
      </c>
      <c r="F2071" s="192" t="s">
        <v>1466</v>
      </c>
      <c r="G2071" s="453" t="s">
        <v>934</v>
      </c>
      <c r="H2071" s="7" t="s">
        <v>1581</v>
      </c>
      <c r="I2071" s="257">
        <v>2000</v>
      </c>
      <c r="J2071" s="256">
        <v>9761.2432513319618</v>
      </c>
      <c r="K2071" s="38">
        <f t="shared" si="113"/>
        <v>19522487</v>
      </c>
      <c r="L2071" s="566" t="s">
        <v>167</v>
      </c>
      <c r="M2071" s="566" t="s">
        <v>165</v>
      </c>
      <c r="N2071" s="52" t="str">
        <f>IF(AND('331-CT'!$E$7=TH!H2071,OR(L2071="331",M2071="331")),"331",IF(AND(OR(L2071="131",M2071="131"),H2071='131-CT'!$E$7),"131",""))</f>
        <v/>
      </c>
      <c r="O2071" s="857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0"/>
      <c r="AC2071" s="557"/>
      <c r="AD2071" s="557"/>
    </row>
    <row r="2072" spans="1:30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12"/>
        <v>1</v>
      </c>
      <c r="C2072" s="184">
        <f t="shared" si="111"/>
        <v>42388</v>
      </c>
      <c r="D2072" s="184" t="s">
        <v>1579</v>
      </c>
      <c r="E2072" s="191">
        <v>42388</v>
      </c>
      <c r="F2072" s="192" t="s">
        <v>901</v>
      </c>
      <c r="G2072" s="453" t="s">
        <v>935</v>
      </c>
      <c r="H2072" s="7" t="s">
        <v>1581</v>
      </c>
      <c r="I2072" s="257">
        <v>2539</v>
      </c>
      <c r="J2072" s="256">
        <v>12097.267277291749</v>
      </c>
      <c r="K2072" s="38">
        <f t="shared" si="113"/>
        <v>30714962</v>
      </c>
      <c r="L2072" s="566" t="s">
        <v>167</v>
      </c>
      <c r="M2072" s="566" t="s">
        <v>165</v>
      </c>
      <c r="N2072" s="52" t="str">
        <f>IF(AND('331-CT'!$E$7=TH!H2072,OR(L2072="331",M2072="331")),"331",IF(AND(OR(L2072="131",M2072="131"),H2072='131-CT'!$E$7),"131",""))</f>
        <v/>
      </c>
      <c r="O2072" s="857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0"/>
      <c r="AC2072" s="557"/>
      <c r="AD2072" s="557"/>
    </row>
    <row r="2073" spans="1:30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12"/>
        <v>1</v>
      </c>
      <c r="C2073" s="184">
        <f t="shared" si="111"/>
        <v>42389</v>
      </c>
      <c r="D2073" s="184" t="s">
        <v>1579</v>
      </c>
      <c r="E2073" s="726">
        <v>42389</v>
      </c>
      <c r="F2073" s="189" t="s">
        <v>657</v>
      </c>
      <c r="G2073" s="40" t="s">
        <v>937</v>
      </c>
      <c r="H2073" s="7" t="s">
        <v>1581</v>
      </c>
      <c r="I2073" s="256">
        <v>313</v>
      </c>
      <c r="J2073" s="256">
        <v>6257.2072123922844</v>
      </c>
      <c r="K2073" s="38">
        <f t="shared" si="113"/>
        <v>1958506</v>
      </c>
      <c r="L2073" s="566" t="s">
        <v>167</v>
      </c>
      <c r="M2073" s="566" t="s">
        <v>165</v>
      </c>
      <c r="N2073" s="52" t="str">
        <f>IF(AND('331-CT'!$E$7=TH!H2073,OR(L2073="331",M2073="331")),"331",IF(AND(OR(L2073="131",M2073="131"),H2073='131-CT'!$E$7),"131",""))</f>
        <v/>
      </c>
      <c r="O2073" s="857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0"/>
      <c r="AC2073" s="557"/>
      <c r="AD2073" s="557"/>
    </row>
    <row r="2074" spans="1:30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12"/>
        <v>1</v>
      </c>
      <c r="C2074" s="184">
        <f t="shared" si="111"/>
        <v>42389</v>
      </c>
      <c r="D2074" s="184" t="s">
        <v>1579</v>
      </c>
      <c r="E2074" s="726">
        <v>42389</v>
      </c>
      <c r="F2074" s="40" t="s">
        <v>1474</v>
      </c>
      <c r="G2074" s="40" t="s">
        <v>937</v>
      </c>
      <c r="H2074" s="7" t="s">
        <v>1581</v>
      </c>
      <c r="I2074" s="256">
        <v>321</v>
      </c>
      <c r="J2074" s="256">
        <v>7925.7958023635592</v>
      </c>
      <c r="K2074" s="38">
        <f t="shared" si="113"/>
        <v>2544180</v>
      </c>
      <c r="L2074" s="566" t="s">
        <v>167</v>
      </c>
      <c r="M2074" s="566" t="s">
        <v>165</v>
      </c>
      <c r="N2074" s="52" t="str">
        <f>IF(AND('331-CT'!$E$7=TH!H2074,OR(L2074="331",M2074="331")),"331",IF(AND(OR(L2074="131",M2074="131"),H2074='131-CT'!$E$7),"131",""))</f>
        <v/>
      </c>
      <c r="O2074" s="857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0"/>
      <c r="AC2074" s="557"/>
      <c r="AD2074" s="557"/>
    </row>
    <row r="2075" spans="1:30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12"/>
        <v>1</v>
      </c>
      <c r="C2075" s="184">
        <f t="shared" si="111"/>
        <v>42389</v>
      </c>
      <c r="D2075" s="184" t="s">
        <v>1579</v>
      </c>
      <c r="E2075" s="726">
        <v>42389</v>
      </c>
      <c r="F2075" s="189" t="s">
        <v>1474</v>
      </c>
      <c r="G2075" s="40" t="s">
        <v>937</v>
      </c>
      <c r="H2075" s="7" t="s">
        <v>1581</v>
      </c>
      <c r="I2075" s="256">
        <v>105</v>
      </c>
      <c r="J2075" s="256">
        <v>7925.7958023635592</v>
      </c>
      <c r="K2075" s="38">
        <f t="shared" si="113"/>
        <v>832209</v>
      </c>
      <c r="L2075" s="566" t="s">
        <v>167</v>
      </c>
      <c r="M2075" s="566" t="s">
        <v>165</v>
      </c>
      <c r="N2075" s="52" t="str">
        <f>IF(AND('331-CT'!$E$7=TH!H2075,OR(L2075="331",M2075="331")),"331",IF(AND(OR(L2075="131",M2075="131"),H2075='131-CT'!$E$7),"131",""))</f>
        <v/>
      </c>
      <c r="O2075" s="857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0"/>
      <c r="AC2075" s="557"/>
      <c r="AD2075" s="557"/>
    </row>
    <row r="2076" spans="1:30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12"/>
        <v>1</v>
      </c>
      <c r="C2076" s="184">
        <f t="shared" si="111"/>
        <v>42389</v>
      </c>
      <c r="D2076" s="184" t="s">
        <v>1579</v>
      </c>
      <c r="E2076" s="726">
        <v>42389</v>
      </c>
      <c r="F2076" s="291" t="s">
        <v>1474</v>
      </c>
      <c r="G2076" s="40" t="s">
        <v>937</v>
      </c>
      <c r="H2076" s="7" t="s">
        <v>1581</v>
      </c>
      <c r="I2076" s="256">
        <v>203</v>
      </c>
      <c r="J2076" s="256">
        <v>8092.654661360687</v>
      </c>
      <c r="K2076" s="38">
        <f t="shared" si="113"/>
        <v>1642809</v>
      </c>
      <c r="L2076" s="566" t="s">
        <v>167</v>
      </c>
      <c r="M2076" s="566" t="s">
        <v>165</v>
      </c>
      <c r="N2076" s="52" t="str">
        <f>IF(AND('331-CT'!$E$7=TH!H2076,OR(L2076="331",M2076="331")),"331",IF(AND(OR(L2076="131",M2076="131"),H2076='131-CT'!$E$7),"131",""))</f>
        <v/>
      </c>
      <c r="O2076" s="857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0"/>
      <c r="AC2076" s="557"/>
      <c r="AD2076" s="557"/>
    </row>
    <row r="2077" spans="1:30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12"/>
        <v>1</v>
      </c>
      <c r="C2077" s="184">
        <f t="shared" si="111"/>
        <v>42389</v>
      </c>
      <c r="D2077" s="184" t="s">
        <v>1579</v>
      </c>
      <c r="E2077" s="726">
        <v>42389</v>
      </c>
      <c r="F2077" s="291" t="s">
        <v>1340</v>
      </c>
      <c r="G2077" s="40" t="s">
        <v>420</v>
      </c>
      <c r="H2077" s="7" t="s">
        <v>1581</v>
      </c>
      <c r="I2077" s="256">
        <v>100</v>
      </c>
      <c r="J2077" s="256">
        <v>11096.114123308984</v>
      </c>
      <c r="K2077" s="38">
        <f t="shared" si="113"/>
        <v>1109611</v>
      </c>
      <c r="L2077" s="566" t="s">
        <v>167</v>
      </c>
      <c r="M2077" s="566" t="s">
        <v>165</v>
      </c>
      <c r="N2077" s="52" t="str">
        <f>IF(AND('331-CT'!$E$7=TH!H2077,OR(L2077="331",M2077="331")),"331",IF(AND(OR(L2077="131",M2077="131"),H2077='131-CT'!$E$7),"131",""))</f>
        <v/>
      </c>
      <c r="O2077" s="857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0"/>
      <c r="AC2077" s="557"/>
      <c r="AD2077" s="557"/>
    </row>
    <row r="2078" spans="1:30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12"/>
        <v>1</v>
      </c>
      <c r="C2078" s="184">
        <f t="shared" ref="C2078:C2141" si="114">E2078</f>
        <v>42390</v>
      </c>
      <c r="D2078" s="184" t="s">
        <v>1579</v>
      </c>
      <c r="E2078" s="726">
        <v>42390</v>
      </c>
      <c r="F2078" s="189" t="s">
        <v>419</v>
      </c>
      <c r="G2078" s="40" t="s">
        <v>424</v>
      </c>
      <c r="H2078" s="7" t="s">
        <v>1581</v>
      </c>
      <c r="I2078" s="753">
        <v>951</v>
      </c>
      <c r="J2078" s="256">
        <v>6841.2132188822297</v>
      </c>
      <c r="K2078" s="38">
        <f t="shared" si="113"/>
        <v>6505994</v>
      </c>
      <c r="L2078" s="566" t="s">
        <v>167</v>
      </c>
      <c r="M2078" s="566" t="s">
        <v>165</v>
      </c>
      <c r="N2078" s="52" t="str">
        <f>IF(AND('331-CT'!$E$7=TH!H2078,OR(L2078="331",M2078="331")),"331",IF(AND(OR(L2078="131",M2078="131"),H2078='131-CT'!$E$7),"131",""))</f>
        <v/>
      </c>
      <c r="O2078" s="857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0"/>
      <c r="AC2078" s="557"/>
      <c r="AD2078" s="557"/>
    </row>
    <row r="2079" spans="1:30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12"/>
        <v>1</v>
      </c>
      <c r="C2079" s="184">
        <f t="shared" si="114"/>
        <v>42391</v>
      </c>
      <c r="D2079" s="184" t="s">
        <v>1579</v>
      </c>
      <c r="E2079" s="726">
        <v>42391</v>
      </c>
      <c r="F2079" s="189" t="s">
        <v>690</v>
      </c>
      <c r="G2079" s="40" t="s">
        <v>425</v>
      </c>
      <c r="H2079" s="7" t="s">
        <v>1581</v>
      </c>
      <c r="I2079" s="256">
        <v>312</v>
      </c>
      <c r="J2079" s="256">
        <v>4755.4774814181355</v>
      </c>
      <c r="K2079" s="38">
        <f t="shared" si="113"/>
        <v>1483709</v>
      </c>
      <c r="L2079" s="566" t="s">
        <v>167</v>
      </c>
      <c r="M2079" s="566" t="s">
        <v>165</v>
      </c>
      <c r="N2079" s="52" t="str">
        <f>IF(AND('331-CT'!$E$7=TH!H2079,OR(L2079="331",M2079="331")),"331",IF(AND(OR(L2079="131",M2079="131"),H2079='131-CT'!$E$7),"131",""))</f>
        <v/>
      </c>
      <c r="O2079" s="857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0"/>
      <c r="AC2079" s="557"/>
    </row>
    <row r="2080" spans="1:30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112"/>
        <v>1</v>
      </c>
      <c r="C2080" s="184">
        <f t="shared" si="114"/>
        <v>42391</v>
      </c>
      <c r="D2080" s="184" t="s">
        <v>1579</v>
      </c>
      <c r="E2080" s="726">
        <v>42391</v>
      </c>
      <c r="F2080" s="189" t="s">
        <v>938</v>
      </c>
      <c r="G2080" s="40" t="s">
        <v>425</v>
      </c>
      <c r="H2080" s="7" t="s">
        <v>1581</v>
      </c>
      <c r="I2080" s="753">
        <v>500</v>
      </c>
      <c r="J2080" s="256">
        <v>5589.7717764037743</v>
      </c>
      <c r="K2080" s="38">
        <f t="shared" si="113"/>
        <v>2794886</v>
      </c>
      <c r="L2080" s="566" t="s">
        <v>167</v>
      </c>
      <c r="M2080" s="566" t="s">
        <v>165</v>
      </c>
      <c r="N2080" s="52" t="str">
        <f>IF(AND('331-CT'!$E$7=TH!H2080,OR(L2080="331",M2080="331")),"331",IF(AND(OR(L2080="131",M2080="131"),H2080='131-CT'!$E$7),"131",""))</f>
        <v/>
      </c>
      <c r="O2080" s="857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0"/>
      <c r="AC2080" s="557"/>
      <c r="AD2080" s="557"/>
    </row>
    <row r="2081" spans="1:30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12"/>
        <v>1</v>
      </c>
      <c r="C2081" s="184">
        <f t="shared" si="114"/>
        <v>42391</v>
      </c>
      <c r="D2081" s="184" t="s">
        <v>1579</v>
      </c>
      <c r="E2081" s="191">
        <v>42391</v>
      </c>
      <c r="F2081" s="192" t="s">
        <v>939</v>
      </c>
      <c r="G2081" s="456" t="s">
        <v>425</v>
      </c>
      <c r="H2081" s="7" t="s">
        <v>1581</v>
      </c>
      <c r="I2081" s="257">
        <v>348</v>
      </c>
      <c r="J2081" s="257">
        <v>3837.7537569339343</v>
      </c>
      <c r="K2081" s="38">
        <f t="shared" si="113"/>
        <v>1335538</v>
      </c>
      <c r="L2081" s="566" t="s">
        <v>167</v>
      </c>
      <c r="M2081" s="566" t="s">
        <v>165</v>
      </c>
      <c r="N2081" s="52" t="str">
        <f>IF(AND('331-CT'!$E$7=TH!H2081,OR(L2081="331",M2081="331")),"331",IF(AND(OR(L2081="131",M2081="131"),H2081='131-CT'!$E$7),"131",""))</f>
        <v/>
      </c>
      <c r="O2081" s="857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0"/>
      <c r="AC2081" s="557"/>
    </row>
    <row r="2082" spans="1:30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12"/>
        <v>1</v>
      </c>
      <c r="C2082" s="184">
        <f t="shared" si="114"/>
        <v>42391</v>
      </c>
      <c r="D2082" s="184" t="s">
        <v>1579</v>
      </c>
      <c r="E2082" s="191">
        <v>42391</v>
      </c>
      <c r="F2082" s="192" t="s">
        <v>1252</v>
      </c>
      <c r="G2082" s="456" t="s">
        <v>427</v>
      </c>
      <c r="H2082" s="7" t="s">
        <v>1581</v>
      </c>
      <c r="I2082" s="256">
        <v>22</v>
      </c>
      <c r="J2082" s="256">
        <v>10929.255264311856</v>
      </c>
      <c r="K2082" s="38">
        <f t="shared" si="113"/>
        <v>240444</v>
      </c>
      <c r="L2082" s="566" t="s">
        <v>167</v>
      </c>
      <c r="M2082" s="566" t="s">
        <v>165</v>
      </c>
      <c r="N2082" s="52" t="str">
        <f>IF(AND('331-CT'!$E$7=TH!H2082,OR(L2082="331",M2082="331")),"331",IF(AND(OR(L2082="131",M2082="131"),H2082='131-CT'!$E$7),"131",""))</f>
        <v/>
      </c>
      <c r="O2082" s="857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0"/>
      <c r="AC2082" s="557"/>
      <c r="AD2082" s="557"/>
    </row>
    <row r="2083" spans="1:30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12"/>
        <v>1</v>
      </c>
      <c r="C2083" s="184">
        <f t="shared" si="114"/>
        <v>42391</v>
      </c>
      <c r="D2083" s="184" t="s">
        <v>1579</v>
      </c>
      <c r="E2083" s="191">
        <v>42391</v>
      </c>
      <c r="F2083" s="189" t="s">
        <v>1253</v>
      </c>
      <c r="G2083" s="456" t="s">
        <v>427</v>
      </c>
      <c r="H2083" s="7" t="s">
        <v>1581</v>
      </c>
      <c r="I2083" s="256">
        <v>50</v>
      </c>
      <c r="J2083" s="256">
        <v>7842.3663728649954</v>
      </c>
      <c r="K2083" s="38">
        <f t="shared" si="113"/>
        <v>392118</v>
      </c>
      <c r="L2083" s="566" t="s">
        <v>167</v>
      </c>
      <c r="M2083" s="566" t="s">
        <v>165</v>
      </c>
      <c r="N2083" s="52" t="str">
        <f>IF(AND('331-CT'!$E$7=TH!H2083,OR(L2083="331",M2083="331")),"331",IF(AND(OR(L2083="131",M2083="131"),H2083='131-CT'!$E$7),"131",""))</f>
        <v/>
      </c>
      <c r="O2083" s="857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0"/>
      <c r="AC2083" s="557"/>
      <c r="AD2083" s="557"/>
    </row>
    <row r="2084" spans="1:30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12"/>
        <v>1</v>
      </c>
      <c r="C2084" s="184">
        <f t="shared" si="114"/>
        <v>42391</v>
      </c>
      <c r="D2084" s="184" t="s">
        <v>1579</v>
      </c>
      <c r="E2084" s="191">
        <v>42391</v>
      </c>
      <c r="F2084" s="189" t="s">
        <v>1238</v>
      </c>
      <c r="G2084" s="456" t="s">
        <v>427</v>
      </c>
      <c r="H2084" s="7" t="s">
        <v>1581</v>
      </c>
      <c r="I2084" s="256">
        <v>70</v>
      </c>
      <c r="J2084" s="256">
        <v>7842.3663728649954</v>
      </c>
      <c r="K2084" s="38">
        <f t="shared" si="113"/>
        <v>548966</v>
      </c>
      <c r="L2084" s="566" t="s">
        <v>167</v>
      </c>
      <c r="M2084" s="566" t="s">
        <v>165</v>
      </c>
      <c r="N2084" s="52" t="str">
        <f>IF(AND('331-CT'!$E$7=TH!H2084,OR(L2084="331",M2084="331")),"331",IF(AND(OR(L2084="131",M2084="131"),H2084='131-CT'!$E$7),"131",""))</f>
        <v/>
      </c>
      <c r="O2084" s="857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0"/>
      <c r="AC2084" s="557"/>
      <c r="AD2084" s="557"/>
    </row>
    <row r="2085" spans="1:30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12"/>
        <v>1</v>
      </c>
      <c r="C2085" s="184">
        <f t="shared" si="114"/>
        <v>42391</v>
      </c>
      <c r="D2085" s="184" t="s">
        <v>1579</v>
      </c>
      <c r="E2085" s="191">
        <v>42391</v>
      </c>
      <c r="F2085" s="40" t="s">
        <v>741</v>
      </c>
      <c r="G2085" s="456" t="s">
        <v>427</v>
      </c>
      <c r="H2085" s="7" t="s">
        <v>1581</v>
      </c>
      <c r="I2085" s="256">
        <v>297</v>
      </c>
      <c r="J2085" s="256">
        <v>7008.0720778793575</v>
      </c>
      <c r="K2085" s="38">
        <f t="shared" si="113"/>
        <v>2081397</v>
      </c>
      <c r="L2085" s="566" t="s">
        <v>167</v>
      </c>
      <c r="M2085" s="566" t="s">
        <v>165</v>
      </c>
      <c r="N2085" s="52" t="str">
        <f>IF(AND('331-CT'!$E$7=TH!H2085,OR(L2085="331",M2085="331")),"331",IF(AND(OR(L2085="131",M2085="131"),H2085='131-CT'!$E$7),"131",""))</f>
        <v/>
      </c>
      <c r="O2085" s="857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0"/>
      <c r="AC2085" s="557"/>
      <c r="AD2085" s="557"/>
    </row>
    <row r="2086" spans="1:30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12"/>
        <v>1</v>
      </c>
      <c r="C2086" s="184">
        <f t="shared" si="114"/>
        <v>42391</v>
      </c>
      <c r="D2086" s="184" t="s">
        <v>1579</v>
      </c>
      <c r="E2086" s="191">
        <v>42391</v>
      </c>
      <c r="F2086" s="192" t="s">
        <v>1254</v>
      </c>
      <c r="G2086" s="456" t="s">
        <v>427</v>
      </c>
      <c r="H2086" s="7" t="s">
        <v>1581</v>
      </c>
      <c r="I2086" s="256">
        <v>900</v>
      </c>
      <c r="J2086" s="256">
        <v>8009.2252318621231</v>
      </c>
      <c r="K2086" s="38">
        <f t="shared" si="113"/>
        <v>7208303</v>
      </c>
      <c r="L2086" s="566" t="s">
        <v>167</v>
      </c>
      <c r="M2086" s="566" t="s">
        <v>165</v>
      </c>
      <c r="N2086" s="52" t="str">
        <f>IF(AND('331-CT'!$E$7=TH!H2086,OR(L2086="331",M2086="331")),"331",IF(AND(OR(L2086="131",M2086="131"),H2086='131-CT'!$E$7),"131",""))</f>
        <v/>
      </c>
      <c r="O2086" s="857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0"/>
      <c r="AC2086" s="557"/>
    </row>
    <row r="2087" spans="1:30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12"/>
        <v>1</v>
      </c>
      <c r="C2087" s="184">
        <f t="shared" si="114"/>
        <v>42391</v>
      </c>
      <c r="D2087" s="184" t="s">
        <v>1579</v>
      </c>
      <c r="E2087" s="191">
        <v>42391</v>
      </c>
      <c r="F2087" s="192" t="s">
        <v>739</v>
      </c>
      <c r="G2087" s="456" t="s">
        <v>427</v>
      </c>
      <c r="H2087" s="7" t="s">
        <v>1581</v>
      </c>
      <c r="I2087" s="256">
        <v>300</v>
      </c>
      <c r="J2087" s="256">
        <v>13181.849860773078</v>
      </c>
      <c r="K2087" s="38">
        <f t="shared" si="113"/>
        <v>3954555</v>
      </c>
      <c r="L2087" s="566" t="s">
        <v>167</v>
      </c>
      <c r="M2087" s="566" t="s">
        <v>165</v>
      </c>
      <c r="N2087" s="52" t="str">
        <f>IF(AND('331-CT'!$E$7=TH!H2087,OR(L2087="331",M2087="331")),"331",IF(AND(OR(L2087="131",M2087="131"),H2087='131-CT'!$E$7),"131",""))</f>
        <v/>
      </c>
      <c r="O2087" s="857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0"/>
      <c r="AC2087" s="557"/>
      <c r="AD2087" s="557"/>
    </row>
    <row r="2088" spans="1:30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12"/>
        <v>1</v>
      </c>
      <c r="C2088" s="184">
        <f t="shared" si="114"/>
        <v>42391</v>
      </c>
      <c r="D2088" s="184" t="s">
        <v>1579</v>
      </c>
      <c r="E2088" s="726">
        <v>42391</v>
      </c>
      <c r="F2088" s="40" t="s">
        <v>743</v>
      </c>
      <c r="G2088" s="40" t="s">
        <v>427</v>
      </c>
      <c r="H2088" s="7" t="s">
        <v>1581</v>
      </c>
      <c r="I2088" s="256">
        <v>10</v>
      </c>
      <c r="J2088" s="256">
        <v>16685.885899712757</v>
      </c>
      <c r="K2088" s="38">
        <f t="shared" si="113"/>
        <v>166859</v>
      </c>
      <c r="L2088" s="566" t="s">
        <v>167</v>
      </c>
      <c r="M2088" s="566" t="s">
        <v>165</v>
      </c>
      <c r="N2088" s="52" t="str">
        <f>IF(AND('331-CT'!$E$7=TH!H2088,OR(L2088="331",M2088="331")),"331",IF(AND(OR(L2088="131",M2088="131"),H2088='131-CT'!$E$7),"131",""))</f>
        <v/>
      </c>
      <c r="O2088" s="857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0"/>
      <c r="AC2088" s="557"/>
      <c r="AD2088" s="557"/>
    </row>
    <row r="2089" spans="1:30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12"/>
        <v>1</v>
      </c>
      <c r="C2089" s="184">
        <f t="shared" si="114"/>
        <v>42391</v>
      </c>
      <c r="D2089" s="184" t="s">
        <v>1579</v>
      </c>
      <c r="E2089" s="726">
        <v>42391</v>
      </c>
      <c r="F2089" s="189" t="s">
        <v>1255</v>
      </c>
      <c r="G2089" s="40" t="s">
        <v>427</v>
      </c>
      <c r="H2089" s="7" t="s">
        <v>1581</v>
      </c>
      <c r="I2089" s="256">
        <v>10</v>
      </c>
      <c r="J2089" s="256">
        <v>14600.150162248663</v>
      </c>
      <c r="K2089" s="38">
        <f t="shared" si="113"/>
        <v>146002</v>
      </c>
      <c r="L2089" s="566" t="s">
        <v>167</v>
      </c>
      <c r="M2089" s="566" t="s">
        <v>165</v>
      </c>
      <c r="N2089" s="52" t="str">
        <f>IF(AND('331-CT'!$E$7=TH!H2089,OR(L2089="331",M2089="331")),"331",IF(AND(OR(L2089="131",M2089="131"),H2089='131-CT'!$E$7),"131",""))</f>
        <v/>
      </c>
      <c r="O2089" s="857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0"/>
      <c r="AC2089" s="557"/>
    </row>
    <row r="2090" spans="1:30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ref="B2090:B2153" si="115">IF(C2090&lt;&gt;"",MONTH(C2090),"")</f>
        <v>1</v>
      </c>
      <c r="C2090" s="184">
        <f t="shared" si="114"/>
        <v>42391</v>
      </c>
      <c r="D2090" s="184" t="s">
        <v>1579</v>
      </c>
      <c r="E2090" s="726">
        <v>42391</v>
      </c>
      <c r="F2090" s="40" t="s">
        <v>742</v>
      </c>
      <c r="G2090" s="40" t="s">
        <v>427</v>
      </c>
      <c r="H2090" s="7" t="s">
        <v>1581</v>
      </c>
      <c r="I2090" s="256">
        <v>10</v>
      </c>
      <c r="J2090" s="256">
        <v>8176.0840908592509</v>
      </c>
      <c r="K2090" s="38">
        <f t="shared" si="113"/>
        <v>81761</v>
      </c>
      <c r="L2090" s="566" t="s">
        <v>167</v>
      </c>
      <c r="M2090" s="566" t="s">
        <v>165</v>
      </c>
      <c r="N2090" s="52" t="str">
        <f>IF(AND('331-CT'!$E$7=TH!H2090,OR(L2090="331",M2090="331")),"331",IF(AND(OR(L2090="131",M2090="131"),H2090='131-CT'!$E$7),"131",""))</f>
        <v/>
      </c>
      <c r="O2090" s="857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0"/>
      <c r="AC2090" s="557"/>
      <c r="AD2090" s="557"/>
    </row>
    <row r="2091" spans="1:30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15"/>
        <v>1</v>
      </c>
      <c r="C2091" s="184">
        <f t="shared" si="114"/>
        <v>42391</v>
      </c>
      <c r="D2091" s="184" t="s">
        <v>1579</v>
      </c>
      <c r="E2091" s="726">
        <v>42391</v>
      </c>
      <c r="F2091" s="40" t="s">
        <v>1241</v>
      </c>
      <c r="G2091" s="40" t="s">
        <v>427</v>
      </c>
      <c r="H2091" s="7" t="s">
        <v>1581</v>
      </c>
      <c r="I2091" s="256">
        <v>10</v>
      </c>
      <c r="J2091" s="256">
        <v>9010.3783858448896</v>
      </c>
      <c r="K2091" s="38">
        <f t="shared" si="113"/>
        <v>90104</v>
      </c>
      <c r="L2091" s="566" t="s">
        <v>167</v>
      </c>
      <c r="M2091" s="566" t="s">
        <v>165</v>
      </c>
      <c r="N2091" s="52" t="str">
        <f>IF(AND('331-CT'!$E$7=TH!H2091,OR(L2091="331",M2091="331")),"331",IF(AND(OR(L2091="131",M2091="131"),H2091='131-CT'!$E$7),"131",""))</f>
        <v/>
      </c>
      <c r="O2091" s="857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0"/>
      <c r="AC2091" s="557"/>
    </row>
    <row r="2092" spans="1:30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15"/>
        <v>1</v>
      </c>
      <c r="C2092" s="184">
        <f t="shared" si="114"/>
        <v>42394</v>
      </c>
      <c r="D2092" s="184" t="s">
        <v>1579</v>
      </c>
      <c r="E2092" s="726">
        <v>42394</v>
      </c>
      <c r="F2092" s="189" t="s">
        <v>1340</v>
      </c>
      <c r="G2092" s="40" t="s">
        <v>428</v>
      </c>
      <c r="H2092" s="7" t="s">
        <v>1581</v>
      </c>
      <c r="I2092" s="256">
        <v>100</v>
      </c>
      <c r="J2092" s="256">
        <v>11096.114123308984</v>
      </c>
      <c r="K2092" s="38">
        <f t="shared" si="113"/>
        <v>1109611</v>
      </c>
      <c r="L2092" s="566" t="s">
        <v>167</v>
      </c>
      <c r="M2092" s="566" t="s">
        <v>165</v>
      </c>
      <c r="N2092" s="52" t="str">
        <f>IF(AND('331-CT'!$E$7=TH!H2092,OR(L2092="331",M2092="331")),"331",IF(AND(OR(L2092="131",M2092="131"),H2092='131-CT'!$E$7),"131",""))</f>
        <v/>
      </c>
      <c r="O2092" s="857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0"/>
      <c r="AC2092" s="557"/>
      <c r="AD2092" s="557"/>
    </row>
    <row r="2093" spans="1:30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15"/>
        <v>1</v>
      </c>
      <c r="C2093" s="184">
        <f t="shared" si="114"/>
        <v>42395</v>
      </c>
      <c r="D2093" s="184" t="s">
        <v>1579</v>
      </c>
      <c r="E2093" s="726">
        <v>42395</v>
      </c>
      <c r="F2093" s="40" t="s">
        <v>1466</v>
      </c>
      <c r="G2093" s="40" t="s">
        <v>940</v>
      </c>
      <c r="H2093" s="7" t="s">
        <v>1581</v>
      </c>
      <c r="I2093" s="256">
        <v>1500</v>
      </c>
      <c r="J2093" s="256">
        <v>9761.2432513319618</v>
      </c>
      <c r="K2093" s="38">
        <f t="shared" si="113"/>
        <v>14641865</v>
      </c>
      <c r="L2093" s="566" t="s">
        <v>167</v>
      </c>
      <c r="M2093" s="566" t="s">
        <v>165</v>
      </c>
      <c r="N2093" s="52" t="str">
        <f>IF(AND('331-CT'!$E$7=TH!H2093,OR(L2093="331",M2093="331")),"331",IF(AND(OR(L2093="131",M2093="131"),H2093='131-CT'!$E$7),"131",""))</f>
        <v/>
      </c>
      <c r="O2093" s="857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0"/>
      <c r="AC2093" s="557"/>
    </row>
    <row r="2094" spans="1:30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15"/>
        <v>1</v>
      </c>
      <c r="C2094" s="184">
        <f t="shared" si="114"/>
        <v>42395</v>
      </c>
      <c r="D2094" s="184" t="s">
        <v>1579</v>
      </c>
      <c r="E2094" s="726">
        <v>42395</v>
      </c>
      <c r="F2094" s="189" t="s">
        <v>1337</v>
      </c>
      <c r="G2094" s="40" t="s">
        <v>940</v>
      </c>
      <c r="H2094" s="7" t="s">
        <v>1581</v>
      </c>
      <c r="I2094" s="256">
        <v>1300</v>
      </c>
      <c r="J2094" s="256">
        <v>10345.24925782191</v>
      </c>
      <c r="K2094" s="38">
        <f t="shared" si="113"/>
        <v>13448824</v>
      </c>
      <c r="L2094" s="566" t="s">
        <v>167</v>
      </c>
      <c r="M2094" s="566" t="s">
        <v>165</v>
      </c>
      <c r="N2094" s="52" t="str">
        <f>IF(AND('331-CT'!$E$7=TH!H2094,OR(L2094="331",M2094="331")),"331",IF(AND(OR(L2094="131",M2094="131"),H2094='131-CT'!$E$7),"131",""))</f>
        <v/>
      </c>
      <c r="O2094" s="857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0"/>
      <c r="AC2094" s="557"/>
      <c r="AD2094" s="557"/>
    </row>
    <row r="2095" spans="1:30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15"/>
        <v>1</v>
      </c>
      <c r="C2095" s="184">
        <f t="shared" si="114"/>
        <v>42395</v>
      </c>
      <c r="D2095" s="184" t="s">
        <v>1579</v>
      </c>
      <c r="E2095" s="37">
        <v>42395</v>
      </c>
      <c r="F2095" s="189" t="s">
        <v>683</v>
      </c>
      <c r="G2095" s="40" t="s">
        <v>431</v>
      </c>
      <c r="H2095" s="7" t="s">
        <v>1581</v>
      </c>
      <c r="I2095" s="256">
        <v>50</v>
      </c>
      <c r="J2095" s="256">
        <v>23109.951971102168</v>
      </c>
      <c r="K2095" s="38">
        <f t="shared" si="113"/>
        <v>1155498</v>
      </c>
      <c r="L2095" s="566" t="s">
        <v>167</v>
      </c>
      <c r="M2095" s="566" t="s">
        <v>165</v>
      </c>
      <c r="N2095" s="52" t="str">
        <f>IF(AND('331-CT'!$E$7=TH!H2095,OR(L2095="331",M2095="331")),"331",IF(AND(OR(L2095="131",M2095="131"),H2095='131-CT'!$E$7),"131",""))</f>
        <v/>
      </c>
      <c r="O2095" s="857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0"/>
      <c r="AC2095" s="557"/>
      <c r="AD2095" s="557"/>
    </row>
    <row r="2096" spans="1:30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15"/>
        <v>1</v>
      </c>
      <c r="C2096" s="184">
        <f t="shared" si="114"/>
        <v>42395</v>
      </c>
      <c r="D2096" s="184" t="s">
        <v>1579</v>
      </c>
      <c r="E2096" s="37">
        <v>42395</v>
      </c>
      <c r="F2096" s="192" t="s">
        <v>686</v>
      </c>
      <c r="G2096" s="40" t="s">
        <v>431</v>
      </c>
      <c r="H2096" s="7" t="s">
        <v>1581</v>
      </c>
      <c r="I2096" s="256">
        <v>98</v>
      </c>
      <c r="J2096" s="256">
        <v>18855.051066675413</v>
      </c>
      <c r="K2096" s="38">
        <f t="shared" si="113"/>
        <v>1847795</v>
      </c>
      <c r="L2096" s="566" t="s">
        <v>167</v>
      </c>
      <c r="M2096" s="566" t="s">
        <v>165</v>
      </c>
      <c r="N2096" s="52" t="str">
        <f>IF(AND('331-CT'!$E$7=TH!H2096,OR(L2096="331",M2096="331")),"331",IF(AND(OR(L2096="131",M2096="131"),H2096='131-CT'!$E$7),"131",""))</f>
        <v/>
      </c>
      <c r="O2096" s="857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0"/>
      <c r="AC2096" s="557"/>
      <c r="AD2096" s="557"/>
    </row>
    <row r="2097" spans="1:30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15"/>
        <v>1</v>
      </c>
      <c r="C2097" s="184">
        <f t="shared" si="114"/>
        <v>42395</v>
      </c>
      <c r="D2097" s="184" t="s">
        <v>1579</v>
      </c>
      <c r="E2097" s="184">
        <v>42395</v>
      </c>
      <c r="F2097" s="192" t="s">
        <v>685</v>
      </c>
      <c r="G2097" s="567" t="s">
        <v>431</v>
      </c>
      <c r="H2097" s="7" t="s">
        <v>1581</v>
      </c>
      <c r="I2097" s="256">
        <v>55</v>
      </c>
      <c r="J2097" s="256">
        <v>23193.381400600731</v>
      </c>
      <c r="K2097" s="38">
        <f t="shared" si="113"/>
        <v>1275636</v>
      </c>
      <c r="L2097" s="566" t="s">
        <v>167</v>
      </c>
      <c r="M2097" s="566" t="s">
        <v>165</v>
      </c>
      <c r="N2097" s="52" t="str">
        <f>IF(AND('331-CT'!$E$7=TH!H2097,OR(L2097="331",M2097="331")),"331",IF(AND(OR(L2097="131",M2097="131"),H2097='131-CT'!$E$7),"131",""))</f>
        <v/>
      </c>
      <c r="O2097" s="857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0"/>
      <c r="AC2097" s="557"/>
      <c r="AD2097" s="557"/>
    </row>
    <row r="2098" spans="1:30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15"/>
        <v>1</v>
      </c>
      <c r="C2098" s="184">
        <f t="shared" si="114"/>
        <v>42395</v>
      </c>
      <c r="D2098" s="184" t="s">
        <v>1579</v>
      </c>
      <c r="E2098" s="191">
        <v>42395</v>
      </c>
      <c r="F2098" s="189" t="s">
        <v>1264</v>
      </c>
      <c r="G2098" s="456" t="s">
        <v>432</v>
      </c>
      <c r="H2098" s="7" t="s">
        <v>1581</v>
      </c>
      <c r="I2098" s="256">
        <v>196</v>
      </c>
      <c r="J2098" s="256">
        <v>2669.7417439540413</v>
      </c>
      <c r="K2098" s="38">
        <f t="shared" si="113"/>
        <v>523269</v>
      </c>
      <c r="L2098" s="566" t="s">
        <v>167</v>
      </c>
      <c r="M2098" s="566" t="s">
        <v>165</v>
      </c>
      <c r="N2098" s="52" t="str">
        <f>IF(AND('331-CT'!$E$7=TH!H2098,OR(L2098="331",M2098="331")),"331",IF(AND(OR(L2098="131",M2098="131"),H2098='131-CT'!$E$7),"131",""))</f>
        <v/>
      </c>
      <c r="O2098" s="857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0"/>
      <c r="AC2098" s="557"/>
      <c r="AD2098" s="557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15"/>
        <v>1</v>
      </c>
      <c r="C2099" s="184">
        <f t="shared" si="114"/>
        <v>42395</v>
      </c>
      <c r="D2099" s="184" t="s">
        <v>1579</v>
      </c>
      <c r="E2099" s="191">
        <v>42395</v>
      </c>
      <c r="F2099" s="189" t="s">
        <v>1265</v>
      </c>
      <c r="G2099" s="456" t="s">
        <v>432</v>
      </c>
      <c r="H2099" s="7" t="s">
        <v>1581</v>
      </c>
      <c r="I2099" s="256">
        <v>500</v>
      </c>
      <c r="J2099" s="256">
        <v>1334.8708719770207</v>
      </c>
      <c r="K2099" s="38">
        <f t="shared" si="113"/>
        <v>667435</v>
      </c>
      <c r="L2099" s="566" t="s">
        <v>167</v>
      </c>
      <c r="M2099" s="566" t="s">
        <v>165</v>
      </c>
      <c r="N2099" s="52" t="str">
        <f>IF(AND('331-CT'!$E$7=TH!H2099,OR(L2099="331",M2099="331")),"331",IF(AND(OR(L2099="131",M2099="131"),H2099='131-CT'!$E$7),"131",""))</f>
        <v/>
      </c>
      <c r="O2099" s="857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0"/>
      <c r="AC2099" s="557"/>
      <c r="AD2099" s="557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15"/>
        <v>1</v>
      </c>
      <c r="C2100" s="184">
        <f t="shared" si="114"/>
        <v>42395</v>
      </c>
      <c r="D2100" s="184" t="s">
        <v>1579</v>
      </c>
      <c r="E2100" s="191">
        <v>42395</v>
      </c>
      <c r="F2100" s="189" t="s">
        <v>1266</v>
      </c>
      <c r="G2100" s="456" t="s">
        <v>432</v>
      </c>
      <c r="H2100" s="7" t="s">
        <v>1581</v>
      </c>
      <c r="I2100" s="256">
        <v>100</v>
      </c>
      <c r="J2100" s="256">
        <v>3504.0360389396787</v>
      </c>
      <c r="K2100" s="38">
        <f t="shared" si="113"/>
        <v>350404</v>
      </c>
      <c r="L2100" s="566" t="s">
        <v>167</v>
      </c>
      <c r="M2100" s="566" t="s">
        <v>165</v>
      </c>
      <c r="N2100" s="52" t="str">
        <f>IF(AND('331-CT'!$E$7=TH!H2100,OR(L2100="331",M2100="331")),"331",IF(AND(OR(L2100="131",M2100="131"),H2100='131-CT'!$E$7),"131",""))</f>
        <v/>
      </c>
      <c r="O2100" s="857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0"/>
      <c r="AC2100" s="557"/>
      <c r="AD2100" s="557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15"/>
        <v>1</v>
      </c>
      <c r="C2101" s="184">
        <f t="shared" si="114"/>
        <v>42395</v>
      </c>
      <c r="D2101" s="184" t="s">
        <v>1579</v>
      </c>
      <c r="E2101" s="191">
        <v>42395</v>
      </c>
      <c r="F2101" s="192" t="s">
        <v>1267</v>
      </c>
      <c r="G2101" s="456" t="s">
        <v>432</v>
      </c>
      <c r="H2101" s="7" t="s">
        <v>1581</v>
      </c>
      <c r="I2101" s="256">
        <v>50</v>
      </c>
      <c r="J2101" s="256">
        <v>1418.3003014755845</v>
      </c>
      <c r="K2101" s="38">
        <f t="shared" si="113"/>
        <v>70915</v>
      </c>
      <c r="L2101" s="566" t="s">
        <v>167</v>
      </c>
      <c r="M2101" s="566" t="s">
        <v>165</v>
      </c>
      <c r="N2101" s="52" t="str">
        <f>IF(AND('331-CT'!$E$7=TH!H2101,OR(L2101="331",M2101="331")),"331",IF(AND(OR(L2101="131",M2101="131"),H2101='131-CT'!$E$7),"131",""))</f>
        <v/>
      </c>
      <c r="O2101" s="857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0"/>
      <c r="AC2101" s="557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15"/>
        <v>1</v>
      </c>
      <c r="C2102" s="184">
        <f t="shared" si="114"/>
        <v>42395</v>
      </c>
      <c r="D2102" s="184" t="s">
        <v>1579</v>
      </c>
      <c r="E2102" s="191">
        <v>42395</v>
      </c>
      <c r="F2102" s="192" t="s">
        <v>1268</v>
      </c>
      <c r="G2102" s="456" t="s">
        <v>432</v>
      </c>
      <c r="H2102" s="7" t="s">
        <v>1581</v>
      </c>
      <c r="I2102" s="256">
        <v>400</v>
      </c>
      <c r="J2102" s="256">
        <v>750.8648654870741</v>
      </c>
      <c r="K2102" s="38">
        <f t="shared" si="113"/>
        <v>300346</v>
      </c>
      <c r="L2102" s="566" t="s">
        <v>167</v>
      </c>
      <c r="M2102" s="566" t="s">
        <v>165</v>
      </c>
      <c r="N2102" s="52" t="str">
        <f>IF(AND('331-CT'!$E$7=TH!H2102,OR(L2102="331",M2102="331")),"331",IF(AND(OR(L2102="131",M2102="131"),H2102='131-CT'!$E$7),"131",""))</f>
        <v/>
      </c>
      <c r="O2102" s="857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0"/>
      <c r="AC2102" s="557"/>
      <c r="AD2102" s="557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15"/>
        <v>1</v>
      </c>
      <c r="C2103" s="184">
        <f t="shared" si="114"/>
        <v>42395</v>
      </c>
      <c r="D2103" s="184" t="s">
        <v>1579</v>
      </c>
      <c r="E2103" s="191">
        <v>42395</v>
      </c>
      <c r="F2103" s="192" t="s">
        <v>1269</v>
      </c>
      <c r="G2103" s="456" t="s">
        <v>432</v>
      </c>
      <c r="H2103" s="7" t="s">
        <v>1581</v>
      </c>
      <c r="I2103" s="256">
        <v>110</v>
      </c>
      <c r="J2103" s="256">
        <v>3754.3243274353704</v>
      </c>
      <c r="K2103" s="38">
        <f t="shared" si="113"/>
        <v>412976</v>
      </c>
      <c r="L2103" s="566" t="s">
        <v>167</v>
      </c>
      <c r="M2103" s="566" t="s">
        <v>165</v>
      </c>
      <c r="N2103" s="52" t="str">
        <f>IF(AND('331-CT'!$E$7=TH!H2103,OR(L2103="331",M2103="331")),"331",IF(AND(OR(L2103="131",M2103="131"),H2103='131-CT'!$E$7),"131",""))</f>
        <v/>
      </c>
      <c r="O2103" s="857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0"/>
      <c r="AC2103" s="557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15"/>
        <v>1</v>
      </c>
      <c r="C2104" s="184">
        <f t="shared" si="114"/>
        <v>42395</v>
      </c>
      <c r="D2104" s="184" t="s">
        <v>1579</v>
      </c>
      <c r="E2104" s="191">
        <v>42395</v>
      </c>
      <c r="F2104" s="192" t="s">
        <v>1270</v>
      </c>
      <c r="G2104" s="456" t="s">
        <v>432</v>
      </c>
      <c r="H2104" s="7" t="s">
        <v>1581</v>
      </c>
      <c r="I2104" s="256">
        <v>55</v>
      </c>
      <c r="J2104" s="256">
        <v>1418.3003014755845</v>
      </c>
      <c r="K2104" s="38">
        <f t="shared" si="113"/>
        <v>78007</v>
      </c>
      <c r="L2104" s="566" t="s">
        <v>167</v>
      </c>
      <c r="M2104" s="566" t="s">
        <v>165</v>
      </c>
      <c r="N2104" s="52" t="str">
        <f>IF(AND('331-CT'!$E$7=TH!H2104,OR(L2104="331",M2104="331")),"331",IF(AND(OR(L2104="131",M2104="131"),H2104='131-CT'!$E$7),"131",""))</f>
        <v/>
      </c>
      <c r="O2104" s="857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0"/>
      <c r="AC2104" s="557"/>
      <c r="AD2104" s="557"/>
    </row>
    <row r="2105" spans="1:30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15"/>
        <v>1</v>
      </c>
      <c r="C2105" s="184">
        <f t="shared" si="114"/>
        <v>42395</v>
      </c>
      <c r="D2105" s="184" t="s">
        <v>1579</v>
      </c>
      <c r="E2105" s="191">
        <v>42395</v>
      </c>
      <c r="F2105" s="192" t="s">
        <v>1271</v>
      </c>
      <c r="G2105" s="456" t="s">
        <v>432</v>
      </c>
      <c r="H2105" s="7" t="s">
        <v>1581</v>
      </c>
      <c r="I2105" s="256">
        <v>440</v>
      </c>
      <c r="J2105" s="256">
        <v>917.72372448420163</v>
      </c>
      <c r="K2105" s="38">
        <f t="shared" si="113"/>
        <v>403798</v>
      </c>
      <c r="L2105" s="566" t="s">
        <v>167</v>
      </c>
      <c r="M2105" s="566" t="s">
        <v>165</v>
      </c>
      <c r="N2105" s="52" t="str">
        <f>IF(AND('331-CT'!$E$7=TH!H2105,OR(L2105="331",M2105="331")),"331",IF(AND(OR(L2105="131",M2105="131"),H2105='131-CT'!$E$7),"131",""))</f>
        <v/>
      </c>
      <c r="O2105" s="857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0"/>
      <c r="AC2105" s="557"/>
      <c r="AD2105" s="557"/>
    </row>
    <row r="2106" spans="1:30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15"/>
        <v>1</v>
      </c>
      <c r="C2106" s="184">
        <f t="shared" si="114"/>
        <v>42395</v>
      </c>
      <c r="D2106" s="184" t="s">
        <v>1579</v>
      </c>
      <c r="E2106" s="191">
        <v>42395</v>
      </c>
      <c r="F2106" s="192" t="s">
        <v>738</v>
      </c>
      <c r="G2106" s="456" t="s">
        <v>433</v>
      </c>
      <c r="H2106" s="7" t="s">
        <v>1581</v>
      </c>
      <c r="I2106" s="256">
        <v>50</v>
      </c>
      <c r="J2106" s="256">
        <v>12180.696706790313</v>
      </c>
      <c r="K2106" s="38">
        <f t="shared" si="113"/>
        <v>609035</v>
      </c>
      <c r="L2106" s="566" t="s">
        <v>167</v>
      </c>
      <c r="M2106" s="566" t="s">
        <v>165</v>
      </c>
      <c r="N2106" s="52" t="str">
        <f>IF(AND('331-CT'!$E$7=TH!H2106,OR(L2106="331",M2106="331")),"331",IF(AND(OR(L2106="131",M2106="131"),H2106='131-CT'!$E$7),"131",""))</f>
        <v/>
      </c>
      <c r="O2106" s="857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0"/>
      <c r="AC2106" s="557"/>
    </row>
    <row r="2107" spans="1:30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15"/>
        <v>1</v>
      </c>
      <c r="C2107" s="184">
        <f t="shared" si="114"/>
        <v>42395</v>
      </c>
      <c r="D2107" s="184" t="s">
        <v>1579</v>
      </c>
      <c r="E2107" s="191">
        <v>42395</v>
      </c>
      <c r="F2107" s="192" t="s">
        <v>1256</v>
      </c>
      <c r="G2107" s="456" t="s">
        <v>433</v>
      </c>
      <c r="H2107" s="7" t="s">
        <v>1581</v>
      </c>
      <c r="I2107" s="256">
        <v>100</v>
      </c>
      <c r="J2107" s="256">
        <v>6507.4955008879751</v>
      </c>
      <c r="K2107" s="38">
        <f t="shared" si="113"/>
        <v>650750</v>
      </c>
      <c r="L2107" s="566" t="s">
        <v>167</v>
      </c>
      <c r="M2107" s="566" t="s">
        <v>165</v>
      </c>
      <c r="N2107" s="52" t="str">
        <f>IF(AND('331-CT'!$E$7=TH!H2107,OR(L2107="331",M2107="331")),"331",IF(AND(OR(L2107="131",M2107="131"),H2107='131-CT'!$E$7),"131",""))</f>
        <v/>
      </c>
      <c r="O2107" s="857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0"/>
      <c r="AC2107" s="557"/>
      <c r="AD2107" s="557"/>
    </row>
    <row r="2108" spans="1:30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15"/>
        <v>1</v>
      </c>
      <c r="C2108" s="184">
        <f t="shared" si="114"/>
        <v>42395</v>
      </c>
      <c r="D2108" s="184" t="s">
        <v>1579</v>
      </c>
      <c r="E2108" s="191">
        <v>42395</v>
      </c>
      <c r="F2108" s="192" t="s">
        <v>1257</v>
      </c>
      <c r="G2108" s="456" t="s">
        <v>433</v>
      </c>
      <c r="H2108" s="7" t="s">
        <v>1581</v>
      </c>
      <c r="I2108" s="256">
        <v>1000</v>
      </c>
      <c r="J2108" s="256">
        <v>1334.8708719770207</v>
      </c>
      <c r="K2108" s="38">
        <f t="shared" si="113"/>
        <v>1334871</v>
      </c>
      <c r="L2108" s="566" t="s">
        <v>167</v>
      </c>
      <c r="M2108" s="566" t="s">
        <v>165</v>
      </c>
      <c r="N2108" s="52" t="str">
        <f>IF(AND('331-CT'!$E$7=TH!H2108,OR(L2108="331",M2108="331")),"331",IF(AND(OR(L2108="131",M2108="131"),H2108='131-CT'!$E$7),"131",""))</f>
        <v/>
      </c>
      <c r="O2108" s="857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0"/>
      <c r="AC2108" s="557"/>
      <c r="AD2108" s="557"/>
    </row>
    <row r="2109" spans="1:30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15"/>
        <v>1</v>
      </c>
      <c r="C2109" s="184">
        <f t="shared" si="114"/>
        <v>42395</v>
      </c>
      <c r="D2109" s="184" t="s">
        <v>1579</v>
      </c>
      <c r="E2109" s="191">
        <v>42395</v>
      </c>
      <c r="F2109" s="192" t="s">
        <v>730</v>
      </c>
      <c r="G2109" s="456" t="s">
        <v>433</v>
      </c>
      <c r="H2109" s="7" t="s">
        <v>1581</v>
      </c>
      <c r="I2109" s="256">
        <v>190</v>
      </c>
      <c r="J2109" s="256">
        <v>7174.9309368764852</v>
      </c>
      <c r="K2109" s="38">
        <f t="shared" si="113"/>
        <v>1363237</v>
      </c>
      <c r="L2109" s="566" t="s">
        <v>167</v>
      </c>
      <c r="M2109" s="566" t="s">
        <v>165</v>
      </c>
      <c r="N2109" s="52" t="str">
        <f>IF(AND('331-CT'!$E$7=TH!H2109,OR(L2109="331",M2109="331")),"331",IF(AND(OR(L2109="131",M2109="131"),H2109='131-CT'!$E$7),"131",""))</f>
        <v/>
      </c>
      <c r="O2109" s="857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0"/>
      <c r="AC2109" s="557"/>
      <c r="AD2109" s="557"/>
    </row>
    <row r="2110" spans="1:30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15"/>
        <v>1</v>
      </c>
      <c r="C2110" s="184">
        <f t="shared" si="114"/>
        <v>42395</v>
      </c>
      <c r="D2110" s="184" t="s">
        <v>1579</v>
      </c>
      <c r="E2110" s="37">
        <v>42395</v>
      </c>
      <c r="F2110" s="40" t="s">
        <v>731</v>
      </c>
      <c r="G2110" s="40" t="s">
        <v>433</v>
      </c>
      <c r="H2110" s="7" t="s">
        <v>1581</v>
      </c>
      <c r="I2110" s="256">
        <v>195</v>
      </c>
      <c r="J2110" s="256">
        <v>6590.924930386539</v>
      </c>
      <c r="K2110" s="38">
        <f t="shared" si="113"/>
        <v>1285230</v>
      </c>
      <c r="L2110" s="566" t="s">
        <v>167</v>
      </c>
      <c r="M2110" s="566" t="s">
        <v>165</v>
      </c>
      <c r="N2110" s="52" t="str">
        <f>IF(AND('331-CT'!$E$7=TH!H2110,OR(L2110="331",M2110="331")),"331",IF(AND(OR(L2110="131",M2110="131"),H2110='131-CT'!$E$7),"131",""))</f>
        <v/>
      </c>
      <c r="O2110" s="857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0"/>
      <c r="AC2110" s="557"/>
      <c r="AD2110" s="557"/>
    </row>
    <row r="2111" spans="1:30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15"/>
        <v>1</v>
      </c>
      <c r="C2111" s="184">
        <f t="shared" si="114"/>
        <v>42395</v>
      </c>
      <c r="D2111" s="184" t="s">
        <v>1579</v>
      </c>
      <c r="E2111" s="37">
        <v>42395</v>
      </c>
      <c r="F2111" s="40" t="s">
        <v>732</v>
      </c>
      <c r="G2111" s="40" t="s">
        <v>433</v>
      </c>
      <c r="H2111" s="7" t="s">
        <v>1581</v>
      </c>
      <c r="I2111" s="256">
        <v>125</v>
      </c>
      <c r="J2111" s="256">
        <v>9677.8138218333988</v>
      </c>
      <c r="K2111" s="38">
        <f t="shared" si="113"/>
        <v>1209727</v>
      </c>
      <c r="L2111" s="566" t="s">
        <v>167</v>
      </c>
      <c r="M2111" s="566" t="s">
        <v>165</v>
      </c>
      <c r="N2111" s="52" t="str">
        <f>IF(AND('331-CT'!$E$7=TH!H2111,OR(L2111="331",M2111="331")),"331",IF(AND(OR(L2111="131",M2111="131"),H2111='131-CT'!$E$7),"131",""))</f>
        <v/>
      </c>
      <c r="O2111" s="857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0"/>
      <c r="AC2111" s="557"/>
    </row>
    <row r="2112" spans="1:30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15"/>
        <v>1</v>
      </c>
      <c r="C2112" s="184">
        <f t="shared" si="114"/>
        <v>42395</v>
      </c>
      <c r="D2112" s="184" t="s">
        <v>1579</v>
      </c>
      <c r="E2112" s="37">
        <v>42395</v>
      </c>
      <c r="F2112" s="40" t="s">
        <v>733</v>
      </c>
      <c r="G2112" s="40" t="s">
        <v>433</v>
      </c>
      <c r="H2112" s="7" t="s">
        <v>1581</v>
      </c>
      <c r="I2112" s="256">
        <v>125</v>
      </c>
      <c r="J2112" s="256">
        <v>8926.9489563463248</v>
      </c>
      <c r="K2112" s="38">
        <f t="shared" si="113"/>
        <v>1115869</v>
      </c>
      <c r="L2112" s="566" t="s">
        <v>167</v>
      </c>
      <c r="M2112" s="566" t="s">
        <v>165</v>
      </c>
      <c r="N2112" s="52" t="str">
        <f>IF(AND('331-CT'!$E$7=TH!H2112,OR(L2112="331",M2112="331")),"331",IF(AND(OR(L2112="131",M2112="131"),H2112='131-CT'!$E$7),"131",""))</f>
        <v/>
      </c>
      <c r="O2112" s="857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0"/>
      <c r="AC2112" s="557"/>
      <c r="AD2112" s="557"/>
    </row>
    <row r="2113" spans="1:30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15"/>
        <v>1</v>
      </c>
      <c r="C2113" s="184">
        <f t="shared" si="114"/>
        <v>42395</v>
      </c>
      <c r="D2113" s="184" t="s">
        <v>1579</v>
      </c>
      <c r="E2113" s="37">
        <v>42395</v>
      </c>
      <c r="F2113" s="40" t="s">
        <v>1258</v>
      </c>
      <c r="G2113" s="40" t="s">
        <v>433</v>
      </c>
      <c r="H2113" s="7" t="s">
        <v>1581</v>
      </c>
      <c r="I2113" s="256">
        <v>390</v>
      </c>
      <c r="J2113" s="256">
        <v>14850.438450744354</v>
      </c>
      <c r="K2113" s="38">
        <f t="shared" si="113"/>
        <v>5791671</v>
      </c>
      <c r="L2113" s="566" t="s">
        <v>167</v>
      </c>
      <c r="M2113" s="566" t="s">
        <v>165</v>
      </c>
      <c r="N2113" s="52" t="str">
        <f>IF(AND('331-CT'!$E$7=TH!H2113,OR(L2113="331",M2113="331")),"331",IF(AND(OR(L2113="131",M2113="131"),H2113='131-CT'!$E$7),"131",""))</f>
        <v/>
      </c>
      <c r="O2113" s="857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0"/>
      <c r="AC2113" s="557"/>
      <c r="AD2113" s="557"/>
    </row>
    <row r="2114" spans="1:30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15"/>
        <v>1</v>
      </c>
      <c r="C2114" s="184">
        <f t="shared" si="114"/>
        <v>42395</v>
      </c>
      <c r="D2114" s="184" t="s">
        <v>1579</v>
      </c>
      <c r="E2114" s="37">
        <v>42395</v>
      </c>
      <c r="F2114" s="40" t="s">
        <v>1259</v>
      </c>
      <c r="G2114" s="40" t="s">
        <v>433</v>
      </c>
      <c r="H2114" s="7" t="s">
        <v>1581</v>
      </c>
      <c r="I2114" s="256">
        <v>420</v>
      </c>
      <c r="J2114" s="256">
        <v>8760.0900973491971</v>
      </c>
      <c r="K2114" s="38">
        <f t="shared" si="113"/>
        <v>3679238</v>
      </c>
      <c r="L2114" s="566" t="s">
        <v>167</v>
      </c>
      <c r="M2114" s="566" t="s">
        <v>165</v>
      </c>
      <c r="N2114" s="52" t="str">
        <f>IF(AND('331-CT'!$E$7=TH!H2114,OR(L2114="331",M2114="331")),"331",IF(AND(OR(L2114="131",M2114="131"),H2114='131-CT'!$E$7),"131",""))</f>
        <v/>
      </c>
      <c r="O2114" s="857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0"/>
      <c r="AC2114" s="557"/>
      <c r="AD2114" s="557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15"/>
        <v>1</v>
      </c>
      <c r="C2115" s="184">
        <f t="shared" si="114"/>
        <v>42397</v>
      </c>
      <c r="D2115" s="184" t="s">
        <v>1579</v>
      </c>
      <c r="E2115" s="37">
        <v>42397</v>
      </c>
      <c r="F2115" s="40" t="s">
        <v>740</v>
      </c>
      <c r="G2115" s="40" t="s">
        <v>435</v>
      </c>
      <c r="H2115" s="7" t="s">
        <v>1581</v>
      </c>
      <c r="I2115" s="256">
        <v>500</v>
      </c>
      <c r="J2115" s="256">
        <v>15601.30331623143</v>
      </c>
      <c r="K2115" s="38">
        <f t="shared" si="113"/>
        <v>7800652</v>
      </c>
      <c r="L2115" s="566" t="s">
        <v>167</v>
      </c>
      <c r="M2115" s="566" t="s">
        <v>165</v>
      </c>
      <c r="N2115" s="52" t="str">
        <f>IF(AND('331-CT'!$E$7=TH!H2115,OR(L2115="331",M2115="331")),"331",IF(AND(OR(L2115="131",M2115="131"),H2115='131-CT'!$E$7),"131",""))</f>
        <v/>
      </c>
      <c r="O2115" s="857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0"/>
      <c r="AC2115" s="557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15"/>
        <v>1</v>
      </c>
      <c r="C2116" s="184">
        <f t="shared" si="114"/>
        <v>42397</v>
      </c>
      <c r="D2116" s="184" t="s">
        <v>1579</v>
      </c>
      <c r="E2116" s="37">
        <v>42397</v>
      </c>
      <c r="F2116" s="40" t="s">
        <v>563</v>
      </c>
      <c r="G2116" s="40" t="s">
        <v>435</v>
      </c>
      <c r="H2116" s="7" t="s">
        <v>1581</v>
      </c>
      <c r="I2116" s="256">
        <v>2000</v>
      </c>
      <c r="J2116" s="256">
        <v>4421.7597634238809</v>
      </c>
      <c r="K2116" s="38">
        <f t="shared" si="113"/>
        <v>8843520</v>
      </c>
      <c r="L2116" s="566" t="s">
        <v>167</v>
      </c>
      <c r="M2116" s="566" t="s">
        <v>165</v>
      </c>
      <c r="N2116" s="52" t="str">
        <f>IF(AND('331-CT'!$E$7=TH!H2116,OR(L2116="331",M2116="331")),"331",IF(AND(OR(L2116="131",M2116="131"),H2116='131-CT'!$E$7),"131",""))</f>
        <v/>
      </c>
      <c r="O2116" s="857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0"/>
      <c r="AC2116" s="557"/>
      <c r="AD2116" s="557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15"/>
        <v>1</v>
      </c>
      <c r="C2117" s="184">
        <f t="shared" si="114"/>
        <v>42397</v>
      </c>
      <c r="D2117" s="184" t="s">
        <v>1579</v>
      </c>
      <c r="E2117" s="37">
        <v>42397</v>
      </c>
      <c r="F2117" s="40" t="s">
        <v>561</v>
      </c>
      <c r="G2117" s="40" t="s">
        <v>435</v>
      </c>
      <c r="H2117" s="7" t="s">
        <v>1581</v>
      </c>
      <c r="I2117" s="256">
        <v>300</v>
      </c>
      <c r="J2117" s="256">
        <v>8843.5195268477619</v>
      </c>
      <c r="K2117" s="38">
        <f t="shared" si="113"/>
        <v>2653056</v>
      </c>
      <c r="L2117" s="566" t="s">
        <v>167</v>
      </c>
      <c r="M2117" s="566" t="s">
        <v>165</v>
      </c>
      <c r="N2117" s="52" t="str">
        <f>IF(AND('331-CT'!$E$7=TH!H2117,OR(L2117="331",M2117="331")),"331",IF(AND(OR(L2117="131",M2117="131"),H2117='131-CT'!$E$7),"131",""))</f>
        <v/>
      </c>
      <c r="O2117" s="857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0"/>
      <c r="AC2117" s="557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15"/>
        <v>1</v>
      </c>
      <c r="C2118" s="184">
        <f t="shared" si="114"/>
        <v>42397</v>
      </c>
      <c r="D2118" s="184" t="s">
        <v>1579</v>
      </c>
      <c r="E2118" s="37">
        <v>42397</v>
      </c>
      <c r="F2118" s="40" t="s">
        <v>478</v>
      </c>
      <c r="G2118" s="40" t="s">
        <v>436</v>
      </c>
      <c r="H2118" s="7" t="s">
        <v>1581</v>
      </c>
      <c r="I2118" s="256">
        <v>1004</v>
      </c>
      <c r="J2118" s="256">
        <v>8676.6606678506341</v>
      </c>
      <c r="K2118" s="38">
        <f t="shared" si="113"/>
        <v>8711367</v>
      </c>
      <c r="L2118" s="566" t="s">
        <v>167</v>
      </c>
      <c r="M2118" s="566" t="s">
        <v>165</v>
      </c>
      <c r="N2118" s="52" t="str">
        <f>IF(AND('331-CT'!$E$7=TH!H2118,OR(L2118="331",M2118="331")),"331",IF(AND(OR(L2118="131",M2118="131"),H2118='131-CT'!$E$7),"131",""))</f>
        <v/>
      </c>
      <c r="O2118" s="857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0"/>
      <c r="AC2118" s="557"/>
      <c r="AD2118" s="557"/>
    </row>
    <row r="2119" spans="1:30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15"/>
        <v>1</v>
      </c>
      <c r="C2119" s="184">
        <f t="shared" si="114"/>
        <v>42397</v>
      </c>
      <c r="D2119" s="184" t="s">
        <v>1579</v>
      </c>
      <c r="E2119" s="37">
        <v>42397</v>
      </c>
      <c r="F2119" s="40" t="s">
        <v>1272</v>
      </c>
      <c r="G2119" s="40" t="s">
        <v>436</v>
      </c>
      <c r="H2119" s="7" t="s">
        <v>1581</v>
      </c>
      <c r="I2119" s="256">
        <v>1004</v>
      </c>
      <c r="J2119" s="256">
        <v>1084.5825834813293</v>
      </c>
      <c r="K2119" s="38">
        <f t="shared" si="113"/>
        <v>1088921</v>
      </c>
      <c r="L2119" s="566" t="s">
        <v>167</v>
      </c>
      <c r="M2119" s="566" t="s">
        <v>165</v>
      </c>
      <c r="N2119" s="52" t="str">
        <f>IF(AND('331-CT'!$E$7=TH!H2119,OR(L2119="331",M2119="331")),"331",IF(AND(OR(L2119="131",M2119="131"),H2119='131-CT'!$E$7),"131",""))</f>
        <v/>
      </c>
      <c r="O2119" s="857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0"/>
      <c r="AC2119" s="557"/>
    </row>
    <row r="2120" spans="1:30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15"/>
        <v>1</v>
      </c>
      <c r="C2120" s="184">
        <f t="shared" si="114"/>
        <v>42397</v>
      </c>
      <c r="D2120" s="184" t="s">
        <v>1579</v>
      </c>
      <c r="E2120" s="37">
        <v>42397</v>
      </c>
      <c r="F2120" s="40" t="s">
        <v>941</v>
      </c>
      <c r="G2120" s="40" t="s">
        <v>436</v>
      </c>
      <c r="H2120" s="7" t="s">
        <v>1581</v>
      </c>
      <c r="I2120" s="256">
        <v>502</v>
      </c>
      <c r="J2120" s="256">
        <v>6507.4955008879751</v>
      </c>
      <c r="K2120" s="38">
        <f t="shared" si="113"/>
        <v>3266763</v>
      </c>
      <c r="L2120" s="566" t="s">
        <v>167</v>
      </c>
      <c r="M2120" s="566" t="s">
        <v>165</v>
      </c>
      <c r="N2120" s="52" t="str">
        <f>IF(AND('331-CT'!$E$7=TH!H2120,OR(L2120="331",M2120="331")),"331",IF(AND(OR(L2120="131",M2120="131"),H2120='131-CT'!$E$7),"131",""))</f>
        <v/>
      </c>
      <c r="O2120" s="857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0"/>
      <c r="AC2120" s="557"/>
      <c r="AD2120" s="557"/>
    </row>
    <row r="2121" spans="1:30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15"/>
        <v>1</v>
      </c>
      <c r="C2121" s="184">
        <f t="shared" si="114"/>
        <v>42397</v>
      </c>
      <c r="D2121" s="184" t="s">
        <v>1579</v>
      </c>
      <c r="E2121" s="37">
        <v>42397</v>
      </c>
      <c r="F2121" s="40" t="s">
        <v>1268</v>
      </c>
      <c r="G2121" s="40" t="s">
        <v>436</v>
      </c>
      <c r="H2121" s="7" t="s">
        <v>1581</v>
      </c>
      <c r="I2121" s="256">
        <v>502</v>
      </c>
      <c r="J2121" s="256">
        <v>750.8648654870741</v>
      </c>
      <c r="K2121" s="38">
        <f t="shared" si="113"/>
        <v>376934</v>
      </c>
      <c r="L2121" s="566" t="s">
        <v>167</v>
      </c>
      <c r="M2121" s="566" t="s">
        <v>165</v>
      </c>
      <c r="N2121" s="52" t="str">
        <f>IF(AND('331-CT'!$E$7=TH!H2121,OR(L2121="331",M2121="331")),"331",IF(AND(OR(L2121="131",M2121="131"),H2121='131-CT'!$E$7),"131",""))</f>
        <v/>
      </c>
      <c r="O2121" s="857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0"/>
      <c r="AC2121" s="557"/>
      <c r="AD2121" s="557"/>
    </row>
    <row r="2122" spans="1:30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15"/>
        <v>1</v>
      </c>
      <c r="C2122" s="184">
        <f t="shared" si="114"/>
        <v>42397</v>
      </c>
      <c r="D2122" s="184" t="s">
        <v>1579</v>
      </c>
      <c r="E2122" s="37">
        <v>42397</v>
      </c>
      <c r="F2122" s="40" t="s">
        <v>668</v>
      </c>
      <c r="G2122" s="40" t="s">
        <v>439</v>
      </c>
      <c r="H2122" s="7" t="s">
        <v>1581</v>
      </c>
      <c r="I2122" s="256">
        <v>210</v>
      </c>
      <c r="J2122" s="256">
        <v>6674.3543598851029</v>
      </c>
      <c r="K2122" s="38">
        <f t="shared" si="113"/>
        <v>1401614</v>
      </c>
      <c r="L2122" s="566" t="s">
        <v>167</v>
      </c>
      <c r="M2122" s="566" t="s">
        <v>165</v>
      </c>
      <c r="N2122" s="52" t="str">
        <f>IF(AND('331-CT'!$E$7=TH!H2122,OR(L2122="331",M2122="331")),"331",IF(AND(OR(L2122="131",M2122="131"),H2122='131-CT'!$E$7),"131",""))</f>
        <v/>
      </c>
      <c r="O2122" s="857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0"/>
      <c r="AC2122" s="557"/>
      <c r="AD2122" s="557"/>
    </row>
    <row r="2123" spans="1:30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15"/>
        <v>1</v>
      </c>
      <c r="C2123" s="184">
        <f t="shared" si="114"/>
        <v>42397</v>
      </c>
      <c r="D2123" s="184" t="s">
        <v>1579</v>
      </c>
      <c r="E2123" s="37">
        <v>42397</v>
      </c>
      <c r="F2123" s="40" t="s">
        <v>669</v>
      </c>
      <c r="G2123" s="40" t="s">
        <v>439</v>
      </c>
      <c r="H2123" s="7" t="s">
        <v>1581</v>
      </c>
      <c r="I2123" s="256">
        <v>309</v>
      </c>
      <c r="J2123" s="256">
        <v>7758.9369433664324</v>
      </c>
      <c r="K2123" s="38">
        <f t="shared" si="113"/>
        <v>2397512</v>
      </c>
      <c r="L2123" s="566" t="s">
        <v>167</v>
      </c>
      <c r="M2123" s="566" t="s">
        <v>165</v>
      </c>
      <c r="N2123" s="52" t="str">
        <f>IF(AND('331-CT'!$E$7=TH!H2123,OR(L2123="331",M2123="331")),"331",IF(AND(OR(L2123="131",M2123="131"),H2123='131-CT'!$E$7),"131",""))</f>
        <v/>
      </c>
      <c r="O2123" s="857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0"/>
      <c r="AC2123" s="557"/>
    </row>
    <row r="2124" spans="1:30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15"/>
        <v>1</v>
      </c>
      <c r="C2124" s="184">
        <f t="shared" si="114"/>
        <v>42397</v>
      </c>
      <c r="D2124" s="184" t="s">
        <v>1579</v>
      </c>
      <c r="E2124" s="37">
        <v>42397</v>
      </c>
      <c r="F2124" s="189" t="s">
        <v>942</v>
      </c>
      <c r="G2124" s="40" t="s">
        <v>442</v>
      </c>
      <c r="H2124" s="7" t="s">
        <v>1581</v>
      </c>
      <c r="I2124" s="256">
        <v>206</v>
      </c>
      <c r="J2124" s="256">
        <v>19188.768784669668</v>
      </c>
      <c r="K2124" s="38">
        <f t="shared" si="113"/>
        <v>3952886</v>
      </c>
      <c r="L2124" s="566" t="s">
        <v>167</v>
      </c>
      <c r="M2124" s="566" t="s">
        <v>165</v>
      </c>
      <c r="N2124" s="52" t="str">
        <f>IF(AND('331-CT'!$E$7=TH!H2124,OR(L2124="331",M2124="331")),"331",IF(AND(OR(L2124="131",M2124="131"),H2124='131-CT'!$E$7),"131",""))</f>
        <v/>
      </c>
      <c r="O2124" s="857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0"/>
      <c r="AC2124" s="557"/>
      <c r="AD2124" s="557"/>
    </row>
    <row r="2125" spans="1:30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15"/>
        <v>1</v>
      </c>
      <c r="C2125" s="184">
        <f t="shared" si="114"/>
        <v>42397</v>
      </c>
      <c r="D2125" s="184" t="s">
        <v>1579</v>
      </c>
      <c r="E2125" s="37">
        <v>42397</v>
      </c>
      <c r="F2125" s="40" t="s">
        <v>1273</v>
      </c>
      <c r="G2125" s="40" t="s">
        <v>442</v>
      </c>
      <c r="H2125" s="7" t="s">
        <v>1581</v>
      </c>
      <c r="I2125" s="256">
        <v>500</v>
      </c>
      <c r="J2125" s="256">
        <v>1835.4474489684033</v>
      </c>
      <c r="K2125" s="38">
        <f t="shared" si="113"/>
        <v>917724</v>
      </c>
      <c r="L2125" s="566" t="s">
        <v>167</v>
      </c>
      <c r="M2125" s="566" t="s">
        <v>165</v>
      </c>
      <c r="N2125" s="52" t="str">
        <f>IF(AND('331-CT'!$E$7=TH!H2125,OR(L2125="331",M2125="331")),"331",IF(AND(OR(L2125="131",M2125="131"),H2125='131-CT'!$E$7),"131",""))</f>
        <v/>
      </c>
      <c r="O2125" s="857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0"/>
      <c r="AC2125" s="557"/>
      <c r="AD2125" s="557"/>
    </row>
    <row r="2126" spans="1:30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15"/>
        <v>1</v>
      </c>
      <c r="C2126" s="184">
        <f t="shared" si="114"/>
        <v>42397</v>
      </c>
      <c r="D2126" s="184" t="s">
        <v>1579</v>
      </c>
      <c r="E2126" s="37">
        <v>42397</v>
      </c>
      <c r="F2126" s="192" t="s">
        <v>1274</v>
      </c>
      <c r="G2126" s="40" t="s">
        <v>442</v>
      </c>
      <c r="H2126" s="7" t="s">
        <v>1581</v>
      </c>
      <c r="I2126" s="256">
        <v>1500</v>
      </c>
      <c r="J2126" s="256">
        <v>2669.7417439540413</v>
      </c>
      <c r="K2126" s="38">
        <f t="shared" si="113"/>
        <v>4004613</v>
      </c>
      <c r="L2126" s="566" t="s">
        <v>167</v>
      </c>
      <c r="M2126" s="566" t="s">
        <v>165</v>
      </c>
      <c r="N2126" s="52" t="str">
        <f>IF(AND('331-CT'!$E$7=TH!H2126,OR(L2126="331",M2126="331")),"331",IF(AND(OR(L2126="131",M2126="131"),H2126='131-CT'!$E$7),"131",""))</f>
        <v/>
      </c>
      <c r="O2126" s="857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0"/>
      <c r="AC2126" s="557"/>
      <c r="AD2126" s="557"/>
    </row>
    <row r="2127" spans="1:30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15"/>
        <v>1</v>
      </c>
      <c r="C2127" s="184">
        <f t="shared" si="114"/>
        <v>42397</v>
      </c>
      <c r="D2127" s="184" t="s">
        <v>1579</v>
      </c>
      <c r="E2127" s="37">
        <v>42397</v>
      </c>
      <c r="F2127" s="40" t="s">
        <v>1268</v>
      </c>
      <c r="G2127" s="40" t="s">
        <v>443</v>
      </c>
      <c r="H2127" s="7" t="s">
        <v>1581</v>
      </c>
      <c r="I2127" s="256">
        <v>502</v>
      </c>
      <c r="J2127" s="256">
        <v>750.8648654870741</v>
      </c>
      <c r="K2127" s="38">
        <f t="shared" si="113"/>
        <v>376934</v>
      </c>
      <c r="L2127" s="566" t="s">
        <v>167</v>
      </c>
      <c r="M2127" s="566" t="s">
        <v>165</v>
      </c>
      <c r="N2127" s="52" t="str">
        <f>IF(AND('331-CT'!$E$7=TH!H2127,OR(L2127="331",M2127="331")),"331",IF(AND(OR(L2127="131",M2127="131"),H2127='131-CT'!$E$7),"131",""))</f>
        <v/>
      </c>
      <c r="O2127" s="857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0"/>
      <c r="AC2127" s="557"/>
    </row>
    <row r="2128" spans="1:30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15"/>
        <v>1</v>
      </c>
      <c r="C2128" s="184">
        <f t="shared" si="114"/>
        <v>42397</v>
      </c>
      <c r="D2128" s="184" t="s">
        <v>1579</v>
      </c>
      <c r="E2128" s="191">
        <v>42397</v>
      </c>
      <c r="F2128" s="192" t="s">
        <v>1339</v>
      </c>
      <c r="G2128" s="456" t="s">
        <v>446</v>
      </c>
      <c r="H2128" s="7" t="s">
        <v>1581</v>
      </c>
      <c r="I2128" s="256">
        <v>50</v>
      </c>
      <c r="J2128" s="256">
        <v>10094.960969326217</v>
      </c>
      <c r="K2128" s="38">
        <f t="shared" si="113"/>
        <v>504748</v>
      </c>
      <c r="L2128" s="566" t="s">
        <v>167</v>
      </c>
      <c r="M2128" s="566" t="s">
        <v>165</v>
      </c>
      <c r="N2128" s="52" t="str">
        <f>IF(AND('331-CT'!$E$7=TH!H2128,OR(L2128="331",M2128="331")),"331",IF(AND(OR(L2128="131",M2128="131"),H2128='131-CT'!$E$7),"131",""))</f>
        <v/>
      </c>
      <c r="O2128" s="857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0"/>
      <c r="AC2128" s="557"/>
      <c r="AD2128" s="557"/>
    </row>
    <row r="2129" spans="1:30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15"/>
        <v>1</v>
      </c>
      <c r="C2129" s="184">
        <f t="shared" si="114"/>
        <v>42397</v>
      </c>
      <c r="D2129" s="184" t="s">
        <v>1579</v>
      </c>
      <c r="E2129" s="191">
        <v>42397</v>
      </c>
      <c r="F2129" s="192" t="s">
        <v>943</v>
      </c>
      <c r="G2129" s="456" t="s">
        <v>719</v>
      </c>
      <c r="H2129" s="7" t="s">
        <v>1581</v>
      </c>
      <c r="I2129" s="256">
        <v>59</v>
      </c>
      <c r="J2129" s="256">
        <v>63072.648700914222</v>
      </c>
      <c r="K2129" s="38">
        <f t="shared" si="113"/>
        <v>3721286</v>
      </c>
      <c r="L2129" s="566" t="s">
        <v>167</v>
      </c>
      <c r="M2129" s="566" t="s">
        <v>165</v>
      </c>
      <c r="N2129" s="52" t="str">
        <f>IF(AND('331-CT'!$E$7=TH!H2129,OR(L2129="331",M2129="331")),"331",IF(AND(OR(L2129="131",M2129="131"),H2129='131-CT'!$E$7),"131",""))</f>
        <v/>
      </c>
      <c r="O2129" s="857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0"/>
      <c r="AC2129" s="557"/>
    </row>
    <row r="2130" spans="1:30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15"/>
        <v>1</v>
      </c>
      <c r="C2130" s="184">
        <f t="shared" si="114"/>
        <v>42397</v>
      </c>
      <c r="D2130" s="184" t="s">
        <v>1579</v>
      </c>
      <c r="E2130" s="191">
        <v>42397</v>
      </c>
      <c r="F2130" s="192" t="s">
        <v>693</v>
      </c>
      <c r="G2130" s="456" t="s">
        <v>719</v>
      </c>
      <c r="H2130" s="7" t="s">
        <v>1581</v>
      </c>
      <c r="I2130" s="256">
        <v>100</v>
      </c>
      <c r="J2130" s="256">
        <v>36291.801831875244</v>
      </c>
      <c r="K2130" s="38">
        <f t="shared" si="113"/>
        <v>3629180</v>
      </c>
      <c r="L2130" s="566" t="s">
        <v>167</v>
      </c>
      <c r="M2130" s="566" t="s">
        <v>165</v>
      </c>
      <c r="N2130" s="52" t="str">
        <f>IF(AND('331-CT'!$E$7=TH!H2130,OR(L2130="331",M2130="331")),"331",IF(AND(OR(L2130="131",M2130="131"),H2130='131-CT'!$E$7),"131",""))</f>
        <v/>
      </c>
      <c r="O2130" s="857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0"/>
      <c r="AC2130" s="557"/>
      <c r="AD2130" s="557"/>
    </row>
    <row r="2131" spans="1:30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15"/>
        <v>1</v>
      </c>
      <c r="C2131" s="184">
        <f t="shared" si="114"/>
        <v>42397</v>
      </c>
      <c r="D2131" s="184" t="s">
        <v>1579</v>
      </c>
      <c r="E2131" s="191">
        <v>42397</v>
      </c>
      <c r="F2131" s="192" t="s">
        <v>944</v>
      </c>
      <c r="G2131" s="456" t="s">
        <v>719</v>
      </c>
      <c r="H2131" s="7" t="s">
        <v>1581</v>
      </c>
      <c r="I2131" s="256">
        <v>37</v>
      </c>
      <c r="J2131" s="256">
        <v>22442.516535113657</v>
      </c>
      <c r="K2131" s="38">
        <f t="shared" ref="K2131:K2194" si="116">ROUND(I2131*J2131,0)</f>
        <v>830373</v>
      </c>
      <c r="L2131" s="566" t="s">
        <v>167</v>
      </c>
      <c r="M2131" s="566" t="s">
        <v>165</v>
      </c>
      <c r="N2131" s="52" t="str">
        <f>IF(AND('331-CT'!$E$7=TH!H2131,OR(L2131="331",M2131="331")),"331",IF(AND(OR(L2131="131",M2131="131"),H2131='131-CT'!$E$7),"131",""))</f>
        <v/>
      </c>
      <c r="O2131" s="857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0"/>
      <c r="AC2131" s="557"/>
      <c r="AD2131" s="557"/>
    </row>
    <row r="2132" spans="1:30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15"/>
        <v>1</v>
      </c>
      <c r="C2132" s="184">
        <f t="shared" si="114"/>
        <v>42397</v>
      </c>
      <c r="D2132" s="184" t="s">
        <v>1579</v>
      </c>
      <c r="E2132" s="191">
        <v>42397</v>
      </c>
      <c r="F2132" s="192" t="s">
        <v>448</v>
      </c>
      <c r="G2132" s="456" t="s">
        <v>719</v>
      </c>
      <c r="H2132" s="7" t="s">
        <v>1581</v>
      </c>
      <c r="I2132" s="256">
        <v>131</v>
      </c>
      <c r="J2132" s="256">
        <v>60486.336386458745</v>
      </c>
      <c r="K2132" s="38">
        <f t="shared" si="116"/>
        <v>7923710</v>
      </c>
      <c r="L2132" s="566" t="s">
        <v>167</v>
      </c>
      <c r="M2132" s="566" t="s">
        <v>165</v>
      </c>
      <c r="N2132" s="52" t="str">
        <f>IF(AND('331-CT'!$E$7=TH!H2132,OR(L2132="331",M2132="331")),"331",IF(AND(OR(L2132="131",M2132="131"),H2132='131-CT'!$E$7),"131",""))</f>
        <v/>
      </c>
      <c r="O2132" s="857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0"/>
      <c r="AC2132" s="557"/>
      <c r="AD2132" s="557"/>
    </row>
    <row r="2133" spans="1:30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15"/>
        <v>1</v>
      </c>
      <c r="C2133" s="184">
        <f t="shared" si="114"/>
        <v>42399</v>
      </c>
      <c r="D2133" s="184" t="s">
        <v>1579</v>
      </c>
      <c r="E2133" s="191">
        <v>42399</v>
      </c>
      <c r="F2133" s="189" t="s">
        <v>945</v>
      </c>
      <c r="G2133" s="456" t="s">
        <v>449</v>
      </c>
      <c r="H2133" s="7" t="s">
        <v>1581</v>
      </c>
      <c r="I2133" s="256">
        <v>51</v>
      </c>
      <c r="J2133" s="256">
        <v>7008.0720778793575</v>
      </c>
      <c r="K2133" s="38">
        <f t="shared" si="116"/>
        <v>357412</v>
      </c>
      <c r="L2133" s="566" t="s">
        <v>167</v>
      </c>
      <c r="M2133" s="566" t="s">
        <v>165</v>
      </c>
      <c r="N2133" s="52" t="str">
        <f>IF(AND('331-CT'!$E$7=TH!H2133,OR(L2133="331",M2133="331")),"331",IF(AND(OR(L2133="131",M2133="131"),H2133='131-CT'!$E$7),"131",""))</f>
        <v/>
      </c>
      <c r="O2133" s="857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0"/>
      <c r="AC2133" s="557"/>
    </row>
    <row r="2134" spans="1:30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115"/>
        <v>1</v>
      </c>
      <c r="C2134" s="184">
        <f t="shared" si="114"/>
        <v>42399</v>
      </c>
      <c r="D2134" s="184" t="s">
        <v>1579</v>
      </c>
      <c r="E2134" s="191">
        <v>42399</v>
      </c>
      <c r="F2134" s="192" t="s">
        <v>510</v>
      </c>
      <c r="G2134" s="456" t="s">
        <v>449</v>
      </c>
      <c r="H2134" s="7" t="s">
        <v>1581</v>
      </c>
      <c r="I2134" s="256">
        <v>978</v>
      </c>
      <c r="J2134" s="256">
        <v>10595.537546317601</v>
      </c>
      <c r="K2134" s="38">
        <f t="shared" si="116"/>
        <v>10362436</v>
      </c>
      <c r="L2134" s="566" t="s">
        <v>167</v>
      </c>
      <c r="M2134" s="566" t="s">
        <v>165</v>
      </c>
      <c r="N2134" s="52" t="str">
        <f>IF(AND('331-CT'!$E$7=TH!H2134,OR(L2134="331",M2134="331")),"331",IF(AND(OR(L2134="131",M2134="131"),H2134='131-CT'!$E$7),"131",""))</f>
        <v/>
      </c>
      <c r="O2134" s="857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0"/>
      <c r="AC2134" s="557"/>
      <c r="AD2134" s="557"/>
    </row>
    <row r="2135" spans="1:30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15"/>
        <v>1</v>
      </c>
      <c r="C2135" s="184">
        <f t="shared" si="114"/>
        <v>42399</v>
      </c>
      <c r="D2135" s="184" t="s">
        <v>1579</v>
      </c>
      <c r="E2135" s="191">
        <v>42399</v>
      </c>
      <c r="F2135" s="192" t="s">
        <v>438</v>
      </c>
      <c r="G2135" s="456" t="s">
        <v>449</v>
      </c>
      <c r="H2135" s="7" t="s">
        <v>1581</v>
      </c>
      <c r="I2135" s="256">
        <v>53</v>
      </c>
      <c r="J2135" s="256">
        <v>11012.684693810421</v>
      </c>
      <c r="K2135" s="38">
        <f t="shared" si="116"/>
        <v>583672</v>
      </c>
      <c r="L2135" s="566" t="s">
        <v>167</v>
      </c>
      <c r="M2135" s="566" t="s">
        <v>165</v>
      </c>
      <c r="N2135" s="52" t="str">
        <f>IF(AND('331-CT'!$E$7=TH!H2135,OR(L2135="331",M2135="331")),"331",IF(AND(OR(L2135="131",M2135="131"),H2135='131-CT'!$E$7),"131",""))</f>
        <v/>
      </c>
      <c r="O2135" s="857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0"/>
      <c r="AC2135" s="557"/>
    </row>
    <row r="2136" spans="1:30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15"/>
        <v>1</v>
      </c>
      <c r="C2136" s="184">
        <f t="shared" si="114"/>
        <v>42399</v>
      </c>
      <c r="D2136" s="184" t="s">
        <v>1579</v>
      </c>
      <c r="E2136" s="191">
        <v>42399</v>
      </c>
      <c r="F2136" s="192" t="s">
        <v>928</v>
      </c>
      <c r="G2136" s="456" t="s">
        <v>449</v>
      </c>
      <c r="H2136" s="7" t="s">
        <v>1581</v>
      </c>
      <c r="I2136" s="256">
        <v>1570</v>
      </c>
      <c r="J2136" s="256">
        <v>12097.267277291749</v>
      </c>
      <c r="K2136" s="38">
        <f t="shared" si="116"/>
        <v>18992710</v>
      </c>
      <c r="L2136" s="566" t="s">
        <v>167</v>
      </c>
      <c r="M2136" s="566" t="s">
        <v>165</v>
      </c>
      <c r="N2136" s="52" t="str">
        <f>IF(AND('331-CT'!$E$7=TH!H2136,OR(L2136="331",M2136="331")),"331",IF(AND(OR(L2136="131",M2136="131"),H2136='131-CT'!$E$7),"131",""))</f>
        <v/>
      </c>
      <c r="O2136" s="857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0"/>
      <c r="AC2136" s="557"/>
      <c r="AD2136" s="557"/>
    </row>
    <row r="2137" spans="1:30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15"/>
        <v>1</v>
      </c>
      <c r="C2137" s="184">
        <f t="shared" si="114"/>
        <v>42399</v>
      </c>
      <c r="D2137" s="184" t="s">
        <v>1579</v>
      </c>
      <c r="E2137" s="726">
        <v>42399</v>
      </c>
      <c r="F2137" s="189" t="s">
        <v>510</v>
      </c>
      <c r="G2137" s="40" t="s">
        <v>946</v>
      </c>
      <c r="H2137" s="7" t="s">
        <v>1581</v>
      </c>
      <c r="I2137" s="256">
        <v>834</v>
      </c>
      <c r="J2137" s="256">
        <v>10595.537546317601</v>
      </c>
      <c r="K2137" s="38">
        <f t="shared" si="116"/>
        <v>8836678</v>
      </c>
      <c r="L2137" s="566" t="s">
        <v>167</v>
      </c>
      <c r="M2137" s="566" t="s">
        <v>165</v>
      </c>
      <c r="N2137" s="52" t="str">
        <f>IF(AND('331-CT'!$E$7=TH!H2137,OR(L2137="331",M2137="331")),"331",IF(AND(OR(L2137="131",M2137="131"),H2137='131-CT'!$E$7),"131",""))</f>
        <v/>
      </c>
      <c r="O2137" s="857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0"/>
      <c r="AC2137" s="557"/>
      <c r="AD2137" s="557"/>
    </row>
    <row r="2138" spans="1:30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15"/>
        <v>1</v>
      </c>
      <c r="C2138" s="184">
        <f t="shared" si="114"/>
        <v>42399</v>
      </c>
      <c r="D2138" s="184" t="s">
        <v>1579</v>
      </c>
      <c r="E2138" s="726">
        <v>42399</v>
      </c>
      <c r="F2138" s="291" t="s">
        <v>947</v>
      </c>
      <c r="G2138" s="40" t="s">
        <v>946</v>
      </c>
      <c r="H2138" s="7" t="s">
        <v>1581</v>
      </c>
      <c r="I2138" s="256">
        <v>106</v>
      </c>
      <c r="J2138" s="256">
        <v>9427.5255333377063</v>
      </c>
      <c r="K2138" s="38">
        <f t="shared" si="116"/>
        <v>999318</v>
      </c>
      <c r="L2138" s="566" t="s">
        <v>167</v>
      </c>
      <c r="M2138" s="566" t="s">
        <v>165</v>
      </c>
      <c r="N2138" s="52" t="str">
        <f>IF(AND('331-CT'!$E$7=TH!H2138,OR(L2138="331",M2138="331")),"331",IF(AND(OR(L2138="131",M2138="131"),H2138='131-CT'!$E$7),"131",""))</f>
        <v/>
      </c>
      <c r="O2138" s="857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0"/>
      <c r="AC2138" s="557"/>
      <c r="AD2138" s="557"/>
    </row>
    <row r="2139" spans="1:30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15"/>
        <v>1</v>
      </c>
      <c r="C2139" s="184">
        <f t="shared" si="114"/>
        <v>42399</v>
      </c>
      <c r="D2139" s="184" t="s">
        <v>1579</v>
      </c>
      <c r="E2139" s="726">
        <v>42399</v>
      </c>
      <c r="F2139" s="40" t="s">
        <v>948</v>
      </c>
      <c r="G2139" s="40" t="s">
        <v>946</v>
      </c>
      <c r="H2139" s="7" t="s">
        <v>1581</v>
      </c>
      <c r="I2139" s="256">
        <v>70</v>
      </c>
      <c r="J2139" s="256">
        <v>11179.543552807549</v>
      </c>
      <c r="K2139" s="38">
        <f t="shared" si="116"/>
        <v>782568</v>
      </c>
      <c r="L2139" s="566" t="s">
        <v>167</v>
      </c>
      <c r="M2139" s="566" t="s">
        <v>165</v>
      </c>
      <c r="N2139" s="52" t="str">
        <f>IF(AND('331-CT'!$E$7=TH!H2139,OR(L2139="331",M2139="331")),"331",IF(AND(OR(L2139="131",M2139="131"),H2139='131-CT'!$E$7),"131",""))</f>
        <v/>
      </c>
      <c r="O2139" s="857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0"/>
      <c r="AC2139" s="557"/>
    </row>
    <row r="2140" spans="1:30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15"/>
        <v>1</v>
      </c>
      <c r="C2140" s="184">
        <f t="shared" si="114"/>
        <v>42399</v>
      </c>
      <c r="D2140" s="184" t="s">
        <v>1579</v>
      </c>
      <c r="E2140" s="726">
        <v>42399</v>
      </c>
      <c r="F2140" s="189" t="s">
        <v>949</v>
      </c>
      <c r="G2140" s="40" t="s">
        <v>946</v>
      </c>
      <c r="H2140" s="7" t="s">
        <v>1581</v>
      </c>
      <c r="I2140" s="256">
        <v>23</v>
      </c>
      <c r="J2140" s="256">
        <v>10011.531539827654</v>
      </c>
      <c r="K2140" s="38">
        <f t="shared" si="116"/>
        <v>230265</v>
      </c>
      <c r="L2140" s="566" t="s">
        <v>167</v>
      </c>
      <c r="M2140" s="566" t="s">
        <v>165</v>
      </c>
      <c r="N2140" s="52" t="str">
        <f>IF(AND('331-CT'!$E$7=TH!H2140,OR(L2140="331",M2140="331")),"331",IF(AND(OR(L2140="131",M2140="131"),H2140='131-CT'!$E$7),"131",""))</f>
        <v/>
      </c>
      <c r="O2140" s="857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0"/>
      <c r="AC2140" s="557"/>
      <c r="AD2140" s="557"/>
    </row>
    <row r="2141" spans="1:30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15"/>
        <v>1</v>
      </c>
      <c r="C2141" s="184">
        <f t="shared" si="114"/>
        <v>42399</v>
      </c>
      <c r="D2141" s="184" t="s">
        <v>1579</v>
      </c>
      <c r="E2141" s="37">
        <v>42399</v>
      </c>
      <c r="F2141" s="192" t="s">
        <v>950</v>
      </c>
      <c r="G2141" s="40" t="s">
        <v>946</v>
      </c>
      <c r="H2141" s="7" t="s">
        <v>1581</v>
      </c>
      <c r="I2141" s="256">
        <v>55</v>
      </c>
      <c r="J2141" s="256">
        <v>10512.108116819038</v>
      </c>
      <c r="K2141" s="38">
        <f t="shared" si="116"/>
        <v>578166</v>
      </c>
      <c r="L2141" s="566" t="s">
        <v>167</v>
      </c>
      <c r="M2141" s="566" t="s">
        <v>165</v>
      </c>
      <c r="N2141" s="52" t="str">
        <f>IF(AND('331-CT'!$E$7=TH!H2141,OR(L2141="331",M2141="331")),"331",IF(AND(OR(L2141="131",M2141="131"),H2141='131-CT'!$E$7),"131",""))</f>
        <v/>
      </c>
      <c r="O2141" s="857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0"/>
      <c r="AC2141" s="557"/>
      <c r="AD2141" s="557"/>
    </row>
    <row r="2142" spans="1:30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15"/>
        <v>1</v>
      </c>
      <c r="C2142" s="184">
        <f t="shared" ref="C2142:C2205" si="117">E2142</f>
        <v>42399</v>
      </c>
      <c r="D2142" s="184" t="s">
        <v>1579</v>
      </c>
      <c r="E2142" s="37">
        <v>42399</v>
      </c>
      <c r="F2142" s="192" t="s">
        <v>951</v>
      </c>
      <c r="G2142" s="40" t="s">
        <v>450</v>
      </c>
      <c r="H2142" s="7" t="s">
        <v>1581</v>
      </c>
      <c r="I2142" s="256">
        <v>209</v>
      </c>
      <c r="J2142" s="256">
        <v>7091.5015073779214</v>
      </c>
      <c r="K2142" s="38">
        <f t="shared" si="116"/>
        <v>1482124</v>
      </c>
      <c r="L2142" s="566" t="s">
        <v>167</v>
      </c>
      <c r="M2142" s="566" t="s">
        <v>165</v>
      </c>
      <c r="N2142" s="52" t="str">
        <f>IF(AND('331-CT'!$E$7=TH!H2142,OR(L2142="331",M2142="331")),"331",IF(AND(OR(L2142="131",M2142="131"),H2142='131-CT'!$E$7),"131",""))</f>
        <v/>
      </c>
      <c r="O2142" s="857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0"/>
      <c r="AC2142" s="557"/>
    </row>
    <row r="2143" spans="1:30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15"/>
        <v>1</v>
      </c>
      <c r="C2143" s="184">
        <f t="shared" si="117"/>
        <v>42399</v>
      </c>
      <c r="D2143" s="184" t="s">
        <v>1579</v>
      </c>
      <c r="E2143" s="37">
        <v>42399</v>
      </c>
      <c r="F2143" s="189" t="s">
        <v>952</v>
      </c>
      <c r="G2143" s="40" t="s">
        <v>450</v>
      </c>
      <c r="H2143" s="7" t="s">
        <v>1581</v>
      </c>
      <c r="I2143" s="256">
        <v>10</v>
      </c>
      <c r="J2143" s="256">
        <v>6924.6426483807936</v>
      </c>
      <c r="K2143" s="38">
        <f t="shared" si="116"/>
        <v>69246</v>
      </c>
      <c r="L2143" s="566" t="s">
        <v>167</v>
      </c>
      <c r="M2143" s="566" t="s">
        <v>165</v>
      </c>
      <c r="N2143" s="52" t="str">
        <f>IF(AND('331-CT'!$E$7=TH!H2143,OR(L2143="331",M2143="331")),"331",IF(AND(OR(L2143="131",M2143="131"),H2143='131-CT'!$E$7),"131",""))</f>
        <v/>
      </c>
      <c r="O2143" s="857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0"/>
      <c r="AC2143" s="557"/>
      <c r="AD2143" s="557"/>
    </row>
    <row r="2144" spans="1:30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15"/>
        <v>1</v>
      </c>
      <c r="C2144" s="184">
        <f t="shared" si="117"/>
        <v>42399</v>
      </c>
      <c r="D2144" s="184" t="s">
        <v>1579</v>
      </c>
      <c r="E2144" s="37">
        <v>42399</v>
      </c>
      <c r="F2144" s="189" t="s">
        <v>953</v>
      </c>
      <c r="G2144" s="40" t="s">
        <v>451</v>
      </c>
      <c r="H2144" s="7" t="s">
        <v>1581</v>
      </c>
      <c r="I2144" s="256">
        <v>50</v>
      </c>
      <c r="J2144" s="256">
        <v>26363.699721546156</v>
      </c>
      <c r="K2144" s="38">
        <f t="shared" si="116"/>
        <v>1318185</v>
      </c>
      <c r="L2144" s="566" t="s">
        <v>167</v>
      </c>
      <c r="M2144" s="566" t="s">
        <v>165</v>
      </c>
      <c r="N2144" s="52" t="str">
        <f>IF(AND('331-CT'!$E$7=TH!H2144,OR(L2144="331",M2144="331")),"331",IF(AND(OR(L2144="131",M2144="131"),H2144='131-CT'!$E$7),"131",""))</f>
        <v/>
      </c>
      <c r="O2144" s="857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0"/>
      <c r="AC2144" s="557"/>
      <c r="AD2144" s="557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15"/>
        <v>2</v>
      </c>
      <c r="C2145" s="184">
        <f t="shared" si="117"/>
        <v>42401</v>
      </c>
      <c r="D2145" s="184" t="s">
        <v>1579</v>
      </c>
      <c r="E2145" s="37">
        <v>42401</v>
      </c>
      <c r="F2145" s="189" t="s">
        <v>954</v>
      </c>
      <c r="G2145" s="40" t="s">
        <v>452</v>
      </c>
      <c r="H2145" s="7" t="s">
        <v>1581</v>
      </c>
      <c r="I2145" s="256">
        <v>103</v>
      </c>
      <c r="J2145" s="256">
        <v>11179.543552807549</v>
      </c>
      <c r="K2145" s="38">
        <f t="shared" si="116"/>
        <v>1151493</v>
      </c>
      <c r="L2145" s="566" t="s">
        <v>167</v>
      </c>
      <c r="M2145" s="566" t="s">
        <v>165</v>
      </c>
      <c r="N2145" s="52" t="str">
        <f>IF(AND('331-CT'!$E$7=TH!H2145,OR(L2145="331",M2145="331")),"331",IF(AND(OR(L2145="131",M2145="131"),H2145='131-CT'!$E$7),"131",""))</f>
        <v/>
      </c>
      <c r="O2145" s="857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0"/>
      <c r="AC2145" s="557"/>
      <c r="AD2145" s="557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15"/>
        <v>2</v>
      </c>
      <c r="C2146" s="184">
        <f t="shared" si="117"/>
        <v>42401</v>
      </c>
      <c r="D2146" s="184" t="s">
        <v>1579</v>
      </c>
      <c r="E2146" s="37">
        <v>42401</v>
      </c>
      <c r="F2146" s="189" t="s">
        <v>993</v>
      </c>
      <c r="G2146" s="40" t="s">
        <v>453</v>
      </c>
      <c r="H2146" s="7" t="s">
        <v>1581</v>
      </c>
      <c r="I2146" s="256">
        <v>141</v>
      </c>
      <c r="J2146" s="256">
        <v>19856.204220658179</v>
      </c>
      <c r="K2146" s="38">
        <f t="shared" si="116"/>
        <v>2799725</v>
      </c>
      <c r="L2146" s="566" t="s">
        <v>167</v>
      </c>
      <c r="M2146" s="566" t="s">
        <v>165</v>
      </c>
      <c r="N2146" s="52" t="str">
        <f>IF(AND('331-CT'!$E$7=TH!H2146,OR(L2146="331",M2146="331")),"331",IF(AND(OR(L2146="131",M2146="131"),H2146='131-CT'!$E$7),"131",""))</f>
        <v/>
      </c>
      <c r="O2146" s="857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0"/>
      <c r="AC2146" s="557"/>
      <c r="AD2146" s="557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15"/>
        <v>2</v>
      </c>
      <c r="C2147" s="184">
        <f t="shared" si="117"/>
        <v>42401</v>
      </c>
      <c r="D2147" s="184" t="s">
        <v>1579</v>
      </c>
      <c r="E2147" s="37">
        <v>42401</v>
      </c>
      <c r="F2147" s="40" t="s">
        <v>666</v>
      </c>
      <c r="G2147" s="40" t="s">
        <v>955</v>
      </c>
      <c r="H2147" s="7" t="s">
        <v>1581</v>
      </c>
      <c r="I2147" s="256">
        <v>250</v>
      </c>
      <c r="J2147" s="256">
        <v>9177.2372448420174</v>
      </c>
      <c r="K2147" s="38">
        <f t="shared" si="116"/>
        <v>2294309</v>
      </c>
      <c r="L2147" s="566" t="s">
        <v>167</v>
      </c>
      <c r="M2147" s="566" t="s">
        <v>165</v>
      </c>
      <c r="N2147" s="52" t="str">
        <f>IF(AND('331-CT'!$E$7=TH!H2147,OR(L2147="331",M2147="331")),"331",IF(AND(OR(L2147="131",M2147="131"),H2147='131-CT'!$E$7),"131",""))</f>
        <v/>
      </c>
      <c r="O2147" s="857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0"/>
      <c r="AC2147" s="557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15"/>
        <v>2</v>
      </c>
      <c r="C2148" s="184">
        <f t="shared" si="117"/>
        <v>42402</v>
      </c>
      <c r="D2148" s="184" t="s">
        <v>1579</v>
      </c>
      <c r="E2148" s="37">
        <v>42402</v>
      </c>
      <c r="F2148" s="40" t="s">
        <v>689</v>
      </c>
      <c r="G2148" s="40" t="s">
        <v>956</v>
      </c>
      <c r="H2148" s="7" t="s">
        <v>1581</v>
      </c>
      <c r="I2148" s="256">
        <v>100</v>
      </c>
      <c r="J2148" s="256">
        <v>12013.837847793186</v>
      </c>
      <c r="K2148" s="38">
        <f t="shared" si="116"/>
        <v>1201384</v>
      </c>
      <c r="L2148" s="566" t="s">
        <v>167</v>
      </c>
      <c r="M2148" s="566" t="s">
        <v>165</v>
      </c>
      <c r="N2148" s="52" t="str">
        <f>IF(AND('331-CT'!$E$7=TH!H2148,OR(L2148="331",M2148="331")),"331",IF(AND(OR(L2148="131",M2148="131"),H2148='131-CT'!$E$7),"131",""))</f>
        <v/>
      </c>
      <c r="O2148" s="857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0"/>
      <c r="AC2148" s="557"/>
      <c r="AD2148" s="557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15"/>
        <v>2</v>
      </c>
      <c r="C2149" s="184">
        <f t="shared" si="117"/>
        <v>42402</v>
      </c>
      <c r="D2149" s="184" t="s">
        <v>1579</v>
      </c>
      <c r="E2149" s="37">
        <v>42402</v>
      </c>
      <c r="F2149" s="192" t="s">
        <v>688</v>
      </c>
      <c r="G2149" s="40" t="s">
        <v>956</v>
      </c>
      <c r="H2149" s="7" t="s">
        <v>1581</v>
      </c>
      <c r="I2149" s="256">
        <v>505</v>
      </c>
      <c r="J2149" s="256">
        <v>6424.0660713894113</v>
      </c>
      <c r="K2149" s="38">
        <f t="shared" si="116"/>
        <v>3244153</v>
      </c>
      <c r="L2149" s="566" t="s">
        <v>167</v>
      </c>
      <c r="M2149" s="566" t="s">
        <v>165</v>
      </c>
      <c r="N2149" s="52" t="str">
        <f>IF(AND('331-CT'!$E$7=TH!H2149,OR(L2149="331",M2149="331")),"331",IF(AND(OR(L2149="131",M2149="131"),H2149='131-CT'!$E$7),"131",""))</f>
        <v/>
      </c>
      <c r="O2149" s="857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0"/>
      <c r="AC2149" s="557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15"/>
        <v>2</v>
      </c>
      <c r="C2150" s="184">
        <f t="shared" si="117"/>
        <v>42402</v>
      </c>
      <c r="D2150" s="184" t="s">
        <v>1579</v>
      </c>
      <c r="E2150" s="37">
        <v>42402</v>
      </c>
      <c r="F2150" s="189" t="s">
        <v>419</v>
      </c>
      <c r="G2150" s="40" t="s">
        <v>455</v>
      </c>
      <c r="H2150" s="7" t="s">
        <v>1581</v>
      </c>
      <c r="I2150" s="256">
        <v>494</v>
      </c>
      <c r="J2150" s="256">
        <v>6841.2132188822297</v>
      </c>
      <c r="K2150" s="38">
        <f t="shared" si="116"/>
        <v>3379559</v>
      </c>
      <c r="L2150" s="566" t="s">
        <v>167</v>
      </c>
      <c r="M2150" s="566" t="s">
        <v>165</v>
      </c>
      <c r="N2150" s="52" t="str">
        <f>IF(AND('331-CT'!$E$7=TH!H2150,OR(L2150="331",M2150="331")),"331",IF(AND(OR(L2150="131",M2150="131"),H2150='131-CT'!$E$7),"131",""))</f>
        <v/>
      </c>
      <c r="O2150" s="857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0"/>
      <c r="AC2150" s="557"/>
      <c r="AD2150" s="557"/>
    </row>
    <row r="2151" spans="1:30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15"/>
        <v>2</v>
      </c>
      <c r="C2151" s="184">
        <f t="shared" si="117"/>
        <v>42403</v>
      </c>
      <c r="D2151" s="184" t="s">
        <v>1579</v>
      </c>
      <c r="E2151" s="37">
        <v>42403</v>
      </c>
      <c r="F2151" s="40" t="s">
        <v>1465</v>
      </c>
      <c r="G2151" s="40" t="s">
        <v>957</v>
      </c>
      <c r="H2151" s="7" t="s">
        <v>1581</v>
      </c>
      <c r="I2151" s="256">
        <v>235</v>
      </c>
      <c r="J2151" s="256">
        <v>8509.8018088535064</v>
      </c>
      <c r="K2151" s="38">
        <f t="shared" si="116"/>
        <v>1999803</v>
      </c>
      <c r="L2151" s="566" t="s">
        <v>167</v>
      </c>
      <c r="M2151" s="566" t="s">
        <v>165</v>
      </c>
      <c r="N2151" s="52" t="str">
        <f>IF(AND('331-CT'!$E$7=TH!H2151,OR(L2151="331",M2151="331")),"331",IF(AND(OR(L2151="131",M2151="131"),H2151='131-CT'!$E$7),"131",""))</f>
        <v/>
      </c>
      <c r="O2151" s="857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0"/>
      <c r="AC2151" s="557"/>
      <c r="AD2151" s="557"/>
    </row>
    <row r="2152" spans="1:30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15"/>
        <v>2</v>
      </c>
      <c r="C2152" s="184">
        <f t="shared" si="117"/>
        <v>42403</v>
      </c>
      <c r="D2152" s="184" t="s">
        <v>1579</v>
      </c>
      <c r="E2152" s="37">
        <v>42403</v>
      </c>
      <c r="F2152" s="40" t="s">
        <v>1338</v>
      </c>
      <c r="G2152" s="40" t="s">
        <v>957</v>
      </c>
      <c r="H2152" s="7" t="s">
        <v>1581</v>
      </c>
      <c r="I2152" s="256">
        <v>600</v>
      </c>
      <c r="J2152" s="256">
        <v>12681.273283781695</v>
      </c>
      <c r="K2152" s="38">
        <f t="shared" si="116"/>
        <v>7608764</v>
      </c>
      <c r="L2152" s="566" t="s">
        <v>167</v>
      </c>
      <c r="M2152" s="566" t="s">
        <v>165</v>
      </c>
      <c r="N2152" s="52" t="str">
        <f>IF(AND('331-CT'!$E$7=TH!H2152,OR(L2152="331",M2152="331")),"331",IF(AND(OR(L2152="131",M2152="131"),H2152='131-CT'!$E$7),"131",""))</f>
        <v/>
      </c>
      <c r="O2152" s="857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0"/>
      <c r="AC2152" s="557"/>
    </row>
    <row r="2153" spans="1:30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15"/>
        <v>2</v>
      </c>
      <c r="C2153" s="184">
        <f t="shared" si="117"/>
        <v>42403</v>
      </c>
      <c r="D2153" s="184" t="s">
        <v>1579</v>
      </c>
      <c r="E2153" s="37">
        <v>42403</v>
      </c>
      <c r="F2153" s="192" t="s">
        <v>1341</v>
      </c>
      <c r="G2153" s="40" t="s">
        <v>957</v>
      </c>
      <c r="H2153" s="7" t="s">
        <v>1581</v>
      </c>
      <c r="I2153" s="256">
        <v>600</v>
      </c>
      <c r="J2153" s="256">
        <v>9093.8078153434526</v>
      </c>
      <c r="K2153" s="38">
        <f t="shared" si="116"/>
        <v>5456285</v>
      </c>
      <c r="L2153" s="566" t="s">
        <v>167</v>
      </c>
      <c r="M2153" s="566" t="s">
        <v>165</v>
      </c>
      <c r="N2153" s="52" t="str">
        <f>IF(AND('331-CT'!$E$7=TH!H2153,OR(L2153="331",M2153="331")),"331",IF(AND(OR(L2153="131",M2153="131"),H2153='131-CT'!$E$7),"131",""))</f>
        <v/>
      </c>
      <c r="O2153" s="857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0"/>
      <c r="AC2153" s="557"/>
      <c r="AD2153" s="557"/>
    </row>
    <row r="2154" spans="1:30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ref="B2154:B2217" si="118">IF(C2154&lt;&gt;"",MONTH(C2154),"")</f>
        <v>2</v>
      </c>
      <c r="C2154" s="184">
        <f t="shared" si="117"/>
        <v>42403</v>
      </c>
      <c r="D2154" s="184" t="s">
        <v>1579</v>
      </c>
      <c r="E2154" s="37">
        <v>42403</v>
      </c>
      <c r="F2154" s="189" t="s">
        <v>1339</v>
      </c>
      <c r="G2154" s="40" t="s">
        <v>957</v>
      </c>
      <c r="H2154" s="7" t="s">
        <v>1581</v>
      </c>
      <c r="I2154" s="256">
        <v>350</v>
      </c>
      <c r="J2154" s="256">
        <v>10094.960969326217</v>
      </c>
      <c r="K2154" s="38">
        <f t="shared" si="116"/>
        <v>3533236</v>
      </c>
      <c r="L2154" s="566" t="s">
        <v>167</v>
      </c>
      <c r="M2154" s="566" t="s">
        <v>165</v>
      </c>
      <c r="N2154" s="52" t="str">
        <f>IF(AND('331-CT'!$E$7=TH!H2154,OR(L2154="331",M2154="331")),"331",IF(AND(OR(L2154="131",M2154="131"),H2154='131-CT'!$E$7),"131",""))</f>
        <v/>
      </c>
      <c r="O2154" s="857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0"/>
      <c r="AC2154" s="557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18"/>
        <v>2</v>
      </c>
      <c r="C2155" s="184">
        <f t="shared" si="117"/>
        <v>42403</v>
      </c>
      <c r="D2155" s="184" t="s">
        <v>1579</v>
      </c>
      <c r="E2155" s="37">
        <v>42403</v>
      </c>
      <c r="F2155" s="40" t="s">
        <v>1340</v>
      </c>
      <c r="G2155" s="40" t="s">
        <v>957</v>
      </c>
      <c r="H2155" s="7" t="s">
        <v>1581</v>
      </c>
      <c r="I2155" s="256">
        <v>500</v>
      </c>
      <c r="J2155" s="256">
        <v>11096.114123308984</v>
      </c>
      <c r="K2155" s="38">
        <f t="shared" si="116"/>
        <v>5548057</v>
      </c>
      <c r="L2155" s="566" t="s">
        <v>167</v>
      </c>
      <c r="M2155" s="566" t="s">
        <v>165</v>
      </c>
      <c r="N2155" s="52" t="str">
        <f>IF(AND('331-CT'!$E$7=TH!H2155,OR(L2155="331",M2155="331")),"331",IF(AND(OR(L2155="131",M2155="131"),H2155='131-CT'!$E$7),"131",""))</f>
        <v/>
      </c>
      <c r="O2155" s="857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0"/>
      <c r="AC2155" s="557"/>
      <c r="AD2155" s="557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18"/>
        <v>2</v>
      </c>
      <c r="C2156" s="184">
        <f t="shared" si="117"/>
        <v>42403</v>
      </c>
      <c r="D2156" s="184" t="s">
        <v>1579</v>
      </c>
      <c r="E2156" s="37">
        <v>42403</v>
      </c>
      <c r="F2156" s="40" t="s">
        <v>1467</v>
      </c>
      <c r="G2156" s="40" t="s">
        <v>957</v>
      </c>
      <c r="H2156" s="7" t="s">
        <v>1581</v>
      </c>
      <c r="I2156" s="256">
        <v>500</v>
      </c>
      <c r="J2156" s="256">
        <v>17436.750765199831</v>
      </c>
      <c r="K2156" s="38">
        <f t="shared" si="116"/>
        <v>8718375</v>
      </c>
      <c r="L2156" s="566" t="s">
        <v>167</v>
      </c>
      <c r="M2156" s="566" t="s">
        <v>165</v>
      </c>
      <c r="N2156" s="52" t="str">
        <f>IF(AND('331-CT'!$E$7=TH!H2156,OR(L2156="331",M2156="331")),"331",IF(AND(OR(L2156="131",M2156="131"),H2156='131-CT'!$E$7),"131",""))</f>
        <v/>
      </c>
      <c r="O2156" s="857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0"/>
      <c r="AC2156" s="557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18"/>
        <v>2</v>
      </c>
      <c r="C2157" s="184">
        <f t="shared" si="117"/>
        <v>42418</v>
      </c>
      <c r="D2157" s="184" t="s">
        <v>1579</v>
      </c>
      <c r="E2157" s="191">
        <v>42418</v>
      </c>
      <c r="F2157" s="192" t="s">
        <v>419</v>
      </c>
      <c r="G2157" s="456" t="s">
        <v>456</v>
      </c>
      <c r="H2157" s="7" t="s">
        <v>1581</v>
      </c>
      <c r="I2157" s="256">
        <v>421</v>
      </c>
      <c r="J2157" s="256">
        <v>6841.2132188822297</v>
      </c>
      <c r="K2157" s="38">
        <f t="shared" si="116"/>
        <v>2880151</v>
      </c>
      <c r="L2157" s="566" t="s">
        <v>167</v>
      </c>
      <c r="M2157" s="566" t="s">
        <v>165</v>
      </c>
      <c r="N2157" s="52" t="str">
        <f>IF(AND('331-CT'!$E$7=TH!H2157,OR(L2157="331",M2157="331")),"331",IF(AND(OR(L2157="131",M2157="131"),H2157='131-CT'!$E$7),"131",""))</f>
        <v/>
      </c>
      <c r="O2157" s="857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0"/>
      <c r="AC2157" s="557"/>
      <c r="AD2157" s="557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18"/>
        <v>2</v>
      </c>
      <c r="C2158" s="184">
        <f t="shared" si="117"/>
        <v>42418</v>
      </c>
      <c r="D2158" s="184" t="s">
        <v>1579</v>
      </c>
      <c r="E2158" s="191">
        <v>42418</v>
      </c>
      <c r="F2158" s="192" t="s">
        <v>958</v>
      </c>
      <c r="G2158" s="456" t="s">
        <v>456</v>
      </c>
      <c r="H2158" s="7" t="s">
        <v>1581</v>
      </c>
      <c r="I2158" s="256">
        <v>596</v>
      </c>
      <c r="J2158" s="256">
        <v>7675.5075138678685</v>
      </c>
      <c r="K2158" s="38">
        <f t="shared" si="116"/>
        <v>4574602</v>
      </c>
      <c r="L2158" s="566" t="s">
        <v>167</v>
      </c>
      <c r="M2158" s="566" t="s">
        <v>165</v>
      </c>
      <c r="N2158" s="52" t="str">
        <f>IF(AND('331-CT'!$E$7=TH!H2158,OR(L2158="331",M2158="331")),"331",IF(AND(OR(L2158="131",M2158="131"),H2158='131-CT'!$E$7),"131",""))</f>
        <v/>
      </c>
      <c r="O2158" s="857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0"/>
      <c r="AC2158" s="557"/>
      <c r="AD2158" s="557"/>
    </row>
    <row r="2159" spans="1:30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18"/>
        <v>2</v>
      </c>
      <c r="C2159" s="184">
        <f t="shared" si="117"/>
        <v>42418</v>
      </c>
      <c r="D2159" s="184" t="s">
        <v>1579</v>
      </c>
      <c r="E2159" s="191">
        <v>42418</v>
      </c>
      <c r="F2159" s="192" t="s">
        <v>656</v>
      </c>
      <c r="G2159" s="456" t="s">
        <v>456</v>
      </c>
      <c r="H2159" s="7" t="s">
        <v>1581</v>
      </c>
      <c r="I2159" s="256">
        <v>309</v>
      </c>
      <c r="J2159" s="256">
        <v>12347.555565787441</v>
      </c>
      <c r="K2159" s="38">
        <f t="shared" si="116"/>
        <v>3815395</v>
      </c>
      <c r="L2159" s="566" t="s">
        <v>167</v>
      </c>
      <c r="M2159" s="566" t="s">
        <v>165</v>
      </c>
      <c r="N2159" s="52" t="str">
        <f>IF(AND('331-CT'!$E$7=TH!H2159,OR(L2159="331",M2159="331")),"331",IF(AND(OR(L2159="131",M2159="131"),H2159='131-CT'!$E$7),"131",""))</f>
        <v/>
      </c>
      <c r="O2159" s="857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0"/>
      <c r="AC2159" s="557"/>
      <c r="AD2159" s="557"/>
    </row>
    <row r="2160" spans="1:30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18"/>
        <v>2</v>
      </c>
      <c r="C2160" s="184">
        <f t="shared" si="117"/>
        <v>42420</v>
      </c>
      <c r="D2160" s="184" t="s">
        <v>1579</v>
      </c>
      <c r="E2160" s="191">
        <v>42420</v>
      </c>
      <c r="F2160" s="192" t="s">
        <v>426</v>
      </c>
      <c r="G2160" s="456" t="s">
        <v>457</v>
      </c>
      <c r="H2160" s="7" t="s">
        <v>1581</v>
      </c>
      <c r="I2160" s="256">
        <v>2259</v>
      </c>
      <c r="J2160" s="256">
        <v>6173.7777828937205</v>
      </c>
      <c r="K2160" s="38">
        <f t="shared" si="116"/>
        <v>13946564</v>
      </c>
      <c r="L2160" s="566" t="s">
        <v>167</v>
      </c>
      <c r="M2160" s="566" t="s">
        <v>165</v>
      </c>
      <c r="N2160" s="52" t="str">
        <f>IF(AND('331-CT'!$E$7=TH!H2160,OR(L2160="331",M2160="331")),"331",IF(AND(OR(L2160="131",M2160="131"),H2160='131-CT'!$E$7),"131",""))</f>
        <v/>
      </c>
      <c r="O2160" s="857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0"/>
      <c r="AC2160" s="557"/>
      <c r="AD2160" s="557"/>
    </row>
    <row r="2161" spans="1:30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18"/>
        <v>2</v>
      </c>
      <c r="C2161" s="184">
        <f t="shared" si="117"/>
        <v>42422</v>
      </c>
      <c r="D2161" s="184" t="s">
        <v>1579</v>
      </c>
      <c r="E2161" s="191">
        <v>42422</v>
      </c>
      <c r="F2161" s="192" t="s">
        <v>993</v>
      </c>
      <c r="G2161" s="456" t="s">
        <v>460</v>
      </c>
      <c r="H2161" s="7" t="s">
        <v>1581</v>
      </c>
      <c r="I2161" s="256">
        <v>349</v>
      </c>
      <c r="J2161" s="256">
        <v>19856.204220658179</v>
      </c>
      <c r="K2161" s="38">
        <f t="shared" si="116"/>
        <v>6929815</v>
      </c>
      <c r="L2161" s="566" t="s">
        <v>167</v>
      </c>
      <c r="M2161" s="566" t="s">
        <v>165</v>
      </c>
      <c r="N2161" s="52" t="str">
        <f>IF(AND('331-CT'!$E$7=TH!H2161,OR(L2161="331",M2161="331")),"331",IF(AND(OR(L2161="131",M2161="131"),H2161='131-CT'!$E$7),"131",""))</f>
        <v/>
      </c>
      <c r="O2161" s="857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0"/>
      <c r="AC2161" s="557"/>
      <c r="AD2161" s="557"/>
    </row>
    <row r="2162" spans="1:30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18"/>
        <v>2</v>
      </c>
      <c r="C2162" s="184">
        <f t="shared" si="117"/>
        <v>42422</v>
      </c>
      <c r="D2162" s="184" t="s">
        <v>1579</v>
      </c>
      <c r="E2162" s="191">
        <v>42422</v>
      </c>
      <c r="F2162" s="192" t="s">
        <v>627</v>
      </c>
      <c r="G2162" s="456" t="s">
        <v>460</v>
      </c>
      <c r="H2162" s="7" t="s">
        <v>1581</v>
      </c>
      <c r="I2162" s="256">
        <v>205</v>
      </c>
      <c r="J2162" s="256">
        <v>8092.654661360687</v>
      </c>
      <c r="K2162" s="38">
        <f t="shared" si="116"/>
        <v>1658994</v>
      </c>
      <c r="L2162" s="566" t="s">
        <v>167</v>
      </c>
      <c r="M2162" s="566" t="s">
        <v>165</v>
      </c>
      <c r="N2162" s="52" t="str">
        <f>IF(AND('331-CT'!$E$7=TH!H2162,OR(L2162="331",M2162="331")),"331",IF(AND(OR(L2162="131",M2162="131"),H2162='131-CT'!$E$7),"131",""))</f>
        <v/>
      </c>
      <c r="O2162" s="857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0"/>
      <c r="AC2162" s="557"/>
      <c r="AD2162" s="557"/>
    </row>
    <row r="2163" spans="1:30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18"/>
        <v>2</v>
      </c>
      <c r="C2163" s="184">
        <f t="shared" si="117"/>
        <v>42422</v>
      </c>
      <c r="D2163" s="184" t="s">
        <v>1579</v>
      </c>
      <c r="E2163" s="191">
        <v>42422</v>
      </c>
      <c r="F2163" s="192" t="s">
        <v>486</v>
      </c>
      <c r="G2163" s="456" t="s">
        <v>460</v>
      </c>
      <c r="H2163" s="7" t="s">
        <v>1581</v>
      </c>
      <c r="I2163" s="256">
        <v>407</v>
      </c>
      <c r="J2163" s="256">
        <v>7842.3663728649954</v>
      </c>
      <c r="K2163" s="38">
        <f t="shared" si="116"/>
        <v>3191843</v>
      </c>
      <c r="L2163" s="566" t="s">
        <v>167</v>
      </c>
      <c r="M2163" s="566" t="s">
        <v>165</v>
      </c>
      <c r="N2163" s="52" t="str">
        <f>IF(AND('331-CT'!$E$7=TH!H2163,OR(L2163="331",M2163="331")),"331",IF(AND(OR(L2163="131",M2163="131"),H2163='131-CT'!$E$7),"131",""))</f>
        <v/>
      </c>
      <c r="O2163" s="857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0"/>
      <c r="AC2163" s="557"/>
      <c r="AD2163" s="557"/>
    </row>
    <row r="2164" spans="1:30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18"/>
        <v>2</v>
      </c>
      <c r="C2164" s="184">
        <f t="shared" si="117"/>
        <v>42422</v>
      </c>
      <c r="D2164" s="184" t="s">
        <v>1579</v>
      </c>
      <c r="E2164" s="191">
        <v>42422</v>
      </c>
      <c r="F2164" s="192" t="s">
        <v>507</v>
      </c>
      <c r="G2164" s="456" t="s">
        <v>460</v>
      </c>
      <c r="H2164" s="7" t="s">
        <v>1581</v>
      </c>
      <c r="I2164" s="256">
        <v>105</v>
      </c>
      <c r="J2164" s="256">
        <v>7758.9369433664324</v>
      </c>
      <c r="K2164" s="38">
        <f t="shared" si="116"/>
        <v>814688</v>
      </c>
      <c r="L2164" s="566" t="s">
        <v>167</v>
      </c>
      <c r="M2164" s="566" t="s">
        <v>165</v>
      </c>
      <c r="N2164" s="52" t="str">
        <f>IF(AND('331-CT'!$E$7=TH!H2164,OR(L2164="331",M2164="331")),"331",IF(AND(OR(L2164="131",M2164="131"),H2164='131-CT'!$E$7),"131",""))</f>
        <v/>
      </c>
      <c r="O2164" s="857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0"/>
      <c r="AC2164" s="557"/>
      <c r="AD2164" s="557"/>
    </row>
    <row r="2165" spans="1:30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18"/>
        <v>2</v>
      </c>
      <c r="C2165" s="184">
        <f t="shared" si="117"/>
        <v>42423</v>
      </c>
      <c r="D2165" s="184" t="s">
        <v>1579</v>
      </c>
      <c r="E2165" s="191">
        <v>42423</v>
      </c>
      <c r="F2165" s="192" t="s">
        <v>959</v>
      </c>
      <c r="G2165" s="456" t="s">
        <v>461</v>
      </c>
      <c r="H2165" s="7" t="s">
        <v>1581</v>
      </c>
      <c r="I2165" s="256">
        <v>500</v>
      </c>
      <c r="J2165" s="256">
        <v>11096.114123308984</v>
      </c>
      <c r="K2165" s="38">
        <f t="shared" si="116"/>
        <v>5548057</v>
      </c>
      <c r="L2165" s="566" t="s">
        <v>167</v>
      </c>
      <c r="M2165" s="566" t="s">
        <v>165</v>
      </c>
      <c r="N2165" s="52" t="str">
        <f>IF(AND('331-CT'!$E$7=TH!H2165,OR(L2165="331",M2165="331")),"331",IF(AND(OR(L2165="131",M2165="131"),H2165='131-CT'!$E$7),"131",""))</f>
        <v/>
      </c>
      <c r="O2165" s="857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0"/>
      <c r="AC2165" s="557"/>
    </row>
    <row r="2166" spans="1:30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18"/>
        <v>2</v>
      </c>
      <c r="C2166" s="184">
        <f t="shared" si="117"/>
        <v>42423</v>
      </c>
      <c r="D2166" s="184" t="s">
        <v>1579</v>
      </c>
      <c r="E2166" s="37">
        <v>42423</v>
      </c>
      <c r="F2166" s="40" t="s">
        <v>445</v>
      </c>
      <c r="G2166" s="40" t="s">
        <v>462</v>
      </c>
      <c r="H2166" s="7" t="s">
        <v>1581</v>
      </c>
      <c r="I2166" s="256">
        <v>102</v>
      </c>
      <c r="J2166" s="256">
        <v>11179.543552807549</v>
      </c>
      <c r="K2166" s="38">
        <f t="shared" si="116"/>
        <v>1140313</v>
      </c>
      <c r="L2166" s="566" t="s">
        <v>167</v>
      </c>
      <c r="M2166" s="566" t="s">
        <v>165</v>
      </c>
      <c r="N2166" s="52" t="str">
        <f>IF(AND('331-CT'!$E$7=TH!H2166,OR(L2166="331",M2166="331")),"331",IF(AND(OR(L2166="131",M2166="131"),H2166='131-CT'!$E$7),"131",""))</f>
        <v/>
      </c>
      <c r="O2166" s="857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0"/>
      <c r="AC2166" s="557"/>
      <c r="AD2166" s="557"/>
    </row>
    <row r="2167" spans="1:30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18"/>
        <v>2</v>
      </c>
      <c r="C2167" s="184">
        <f t="shared" si="117"/>
        <v>42423</v>
      </c>
      <c r="D2167" s="184" t="s">
        <v>1579</v>
      </c>
      <c r="E2167" s="37">
        <v>42423</v>
      </c>
      <c r="F2167" s="40" t="s">
        <v>1466</v>
      </c>
      <c r="G2167" s="40" t="s">
        <v>463</v>
      </c>
      <c r="H2167" s="7" t="s">
        <v>1581</v>
      </c>
      <c r="I2167" s="256">
        <v>1509</v>
      </c>
      <c r="J2167" s="256">
        <v>9761.2432513319618</v>
      </c>
      <c r="K2167" s="38">
        <f t="shared" si="116"/>
        <v>14729716</v>
      </c>
      <c r="L2167" s="566" t="s">
        <v>167</v>
      </c>
      <c r="M2167" s="566" t="s">
        <v>165</v>
      </c>
      <c r="N2167" s="52" t="str">
        <f>IF(AND('331-CT'!$E$7=TH!H2167,OR(L2167="331",M2167="331")),"331",IF(AND(OR(L2167="131",M2167="131"),H2167='131-CT'!$E$7),"131",""))</f>
        <v/>
      </c>
      <c r="O2167" s="857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0"/>
      <c r="AC2167" s="557"/>
      <c r="AD2167" s="557"/>
    </row>
    <row r="2168" spans="1:30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18"/>
        <v>2</v>
      </c>
      <c r="C2168" s="184">
        <f t="shared" si="117"/>
        <v>42423</v>
      </c>
      <c r="D2168" s="184" t="s">
        <v>1579</v>
      </c>
      <c r="E2168" s="37">
        <v>42423</v>
      </c>
      <c r="F2168" s="40" t="s">
        <v>1337</v>
      </c>
      <c r="G2168" s="40" t="s">
        <v>463</v>
      </c>
      <c r="H2168" s="7" t="s">
        <v>1581</v>
      </c>
      <c r="I2168" s="256">
        <v>783</v>
      </c>
      <c r="J2168" s="256">
        <v>10345.24925782191</v>
      </c>
      <c r="K2168" s="38">
        <f t="shared" si="116"/>
        <v>8100330</v>
      </c>
      <c r="L2168" s="566" t="s">
        <v>167</v>
      </c>
      <c r="M2168" s="566" t="s">
        <v>165</v>
      </c>
      <c r="N2168" s="52" t="str">
        <f>IF(AND('331-CT'!$E$7=TH!H2168,OR(L2168="331",M2168="331")),"331",IF(AND(OR(L2168="131",M2168="131"),H2168='131-CT'!$E$7),"131",""))</f>
        <v/>
      </c>
      <c r="O2168" s="857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0"/>
      <c r="AC2168" s="557"/>
      <c r="AD2168" s="557"/>
    </row>
    <row r="2169" spans="1:30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18"/>
        <v>2</v>
      </c>
      <c r="C2169" s="184">
        <f t="shared" si="117"/>
        <v>42423</v>
      </c>
      <c r="D2169" s="184" t="s">
        <v>1579</v>
      </c>
      <c r="E2169" s="37">
        <v>42423</v>
      </c>
      <c r="F2169" s="192" t="s">
        <v>675</v>
      </c>
      <c r="G2169" s="40" t="s">
        <v>464</v>
      </c>
      <c r="H2169" s="7" t="s">
        <v>1581</v>
      </c>
      <c r="I2169" s="256">
        <v>1000</v>
      </c>
      <c r="J2169" s="256">
        <v>9510.9549628362711</v>
      </c>
      <c r="K2169" s="38">
        <f t="shared" si="116"/>
        <v>9510955</v>
      </c>
      <c r="L2169" s="566" t="s">
        <v>167</v>
      </c>
      <c r="M2169" s="566" t="s">
        <v>165</v>
      </c>
      <c r="N2169" s="52" t="str">
        <f>IF(AND('331-CT'!$E$7=TH!H2169,OR(L2169="331",M2169="331")),"331",IF(AND(OR(L2169="131",M2169="131"),H2169='131-CT'!$E$7),"131",""))</f>
        <v/>
      </c>
      <c r="O2169" s="857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0"/>
      <c r="AC2169" s="557"/>
    </row>
    <row r="2170" spans="1:30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18"/>
        <v>2</v>
      </c>
      <c r="C2170" s="184">
        <f t="shared" si="117"/>
        <v>42423</v>
      </c>
      <c r="D2170" s="184" t="s">
        <v>1579</v>
      </c>
      <c r="E2170" s="37">
        <v>42423</v>
      </c>
      <c r="F2170" s="40" t="s">
        <v>675</v>
      </c>
      <c r="G2170" s="40" t="s">
        <v>464</v>
      </c>
      <c r="H2170" s="7" t="s">
        <v>1581</v>
      </c>
      <c r="I2170" s="256">
        <v>50</v>
      </c>
      <c r="J2170" s="256">
        <v>9510.9549628362711</v>
      </c>
      <c r="K2170" s="38">
        <f t="shared" si="116"/>
        <v>475548</v>
      </c>
      <c r="L2170" s="566" t="s">
        <v>167</v>
      </c>
      <c r="M2170" s="566" t="s">
        <v>165</v>
      </c>
      <c r="N2170" s="52" t="str">
        <f>IF(AND('331-CT'!$E$7=TH!H2170,OR(L2170="331",M2170="331")),"331",IF(AND(OR(L2170="131",M2170="131"),H2170='131-CT'!$E$7),"131",""))</f>
        <v/>
      </c>
      <c r="O2170" s="857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0"/>
      <c r="AC2170" s="557"/>
      <c r="AD2170" s="557"/>
    </row>
    <row r="2171" spans="1:30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18"/>
        <v>2</v>
      </c>
      <c r="C2171" s="184">
        <f t="shared" si="117"/>
        <v>42423</v>
      </c>
      <c r="D2171" s="184" t="s">
        <v>1579</v>
      </c>
      <c r="E2171" s="37">
        <v>42423</v>
      </c>
      <c r="F2171" s="40" t="s">
        <v>723</v>
      </c>
      <c r="G2171" s="40" t="s">
        <v>464</v>
      </c>
      <c r="H2171" s="7" t="s">
        <v>1581</v>
      </c>
      <c r="I2171" s="256">
        <v>2100</v>
      </c>
      <c r="J2171" s="256">
        <v>750.8648654870741</v>
      </c>
      <c r="K2171" s="38">
        <f t="shared" si="116"/>
        <v>1576816</v>
      </c>
      <c r="L2171" s="566" t="s">
        <v>167</v>
      </c>
      <c r="M2171" s="566" t="s">
        <v>165</v>
      </c>
      <c r="N2171" s="52" t="str">
        <f>IF(AND('331-CT'!$E$7=TH!H2171,OR(L2171="331",M2171="331")),"331",IF(AND(OR(L2171="131",M2171="131"),H2171='131-CT'!$E$7),"131",""))</f>
        <v/>
      </c>
      <c r="O2171" s="857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0"/>
      <c r="AC2171" s="557"/>
      <c r="AD2171" s="557"/>
    </row>
    <row r="2172" spans="1:30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18"/>
        <v>2</v>
      </c>
      <c r="C2172" s="184">
        <f t="shared" si="117"/>
        <v>42424</v>
      </c>
      <c r="D2172" s="184" t="s">
        <v>1579</v>
      </c>
      <c r="E2172" s="37">
        <v>42424</v>
      </c>
      <c r="F2172" s="40" t="s">
        <v>960</v>
      </c>
      <c r="G2172" s="40" t="s">
        <v>465</v>
      </c>
      <c r="H2172" s="7" t="s">
        <v>1581</v>
      </c>
      <c r="I2172" s="256">
        <v>500</v>
      </c>
      <c r="J2172" s="256">
        <v>17603.609624196957</v>
      </c>
      <c r="K2172" s="38">
        <f t="shared" si="116"/>
        <v>8801805</v>
      </c>
      <c r="L2172" s="566" t="s">
        <v>167</v>
      </c>
      <c r="M2172" s="566" t="s">
        <v>165</v>
      </c>
      <c r="N2172" s="52" t="str">
        <f>IF(AND('331-CT'!$E$7=TH!H2172,OR(L2172="331",M2172="331")),"331",IF(AND(OR(L2172="131",M2172="131"),H2172='131-CT'!$E$7),"131",""))</f>
        <v/>
      </c>
      <c r="O2172" s="857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0"/>
      <c r="AC2172" s="557"/>
      <c r="AD2172" s="557"/>
    </row>
    <row r="2173" spans="1:30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18"/>
        <v>2</v>
      </c>
      <c r="C2173" s="184">
        <f t="shared" si="117"/>
        <v>42424</v>
      </c>
      <c r="D2173" s="184" t="s">
        <v>1579</v>
      </c>
      <c r="E2173" s="37">
        <v>42424</v>
      </c>
      <c r="F2173" s="40" t="s">
        <v>658</v>
      </c>
      <c r="G2173" s="40" t="s">
        <v>467</v>
      </c>
      <c r="H2173" s="7" t="s">
        <v>1581</v>
      </c>
      <c r="I2173" s="256">
        <v>61</v>
      </c>
      <c r="J2173" s="256">
        <v>23693.957977592116</v>
      </c>
      <c r="K2173" s="38">
        <f t="shared" si="116"/>
        <v>1445331</v>
      </c>
      <c r="L2173" s="566" t="s">
        <v>167</v>
      </c>
      <c r="M2173" s="566" t="s">
        <v>165</v>
      </c>
      <c r="N2173" s="52" t="str">
        <f>IF(AND('331-CT'!$E$7=TH!H2173,OR(L2173="331",M2173="331")),"331",IF(AND(OR(L2173="131",M2173="131"),H2173='131-CT'!$E$7),"131",""))</f>
        <v/>
      </c>
      <c r="O2173" s="857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0"/>
      <c r="AC2173" s="557"/>
    </row>
    <row r="2174" spans="1:30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18"/>
        <v>2</v>
      </c>
      <c r="C2174" s="184">
        <f t="shared" si="117"/>
        <v>42424</v>
      </c>
      <c r="D2174" s="184" t="s">
        <v>1579</v>
      </c>
      <c r="E2174" s="37">
        <v>42424</v>
      </c>
      <c r="F2174" s="40" t="s">
        <v>448</v>
      </c>
      <c r="G2174" s="40" t="s">
        <v>467</v>
      </c>
      <c r="H2174" s="7" t="s">
        <v>1581</v>
      </c>
      <c r="I2174" s="256">
        <v>147</v>
      </c>
      <c r="J2174" s="256">
        <v>60486.336386458745</v>
      </c>
      <c r="K2174" s="38">
        <f t="shared" si="116"/>
        <v>8891491</v>
      </c>
      <c r="L2174" s="566" t="s">
        <v>167</v>
      </c>
      <c r="M2174" s="566" t="s">
        <v>165</v>
      </c>
      <c r="N2174" s="52" t="str">
        <f>IF(AND('331-CT'!$E$7=TH!H2174,OR(L2174="331",M2174="331")),"331",IF(AND(OR(L2174="131",M2174="131"),H2174='131-CT'!$E$7),"131",""))</f>
        <v/>
      </c>
      <c r="O2174" s="857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0"/>
      <c r="AC2174" s="557"/>
      <c r="AD2174" s="557"/>
    </row>
    <row r="2175" spans="1:30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18"/>
        <v>2</v>
      </c>
      <c r="C2175" s="184">
        <f t="shared" si="117"/>
        <v>42424</v>
      </c>
      <c r="D2175" s="184" t="s">
        <v>1579</v>
      </c>
      <c r="E2175" s="37">
        <v>42424</v>
      </c>
      <c r="F2175" s="40" t="s">
        <v>943</v>
      </c>
      <c r="G2175" s="40" t="s">
        <v>467</v>
      </c>
      <c r="H2175" s="7" t="s">
        <v>1581</v>
      </c>
      <c r="I2175" s="256">
        <v>51</v>
      </c>
      <c r="J2175" s="256">
        <v>63072.648700914222</v>
      </c>
      <c r="K2175" s="38">
        <f t="shared" si="116"/>
        <v>3216705</v>
      </c>
      <c r="L2175" s="566" t="s">
        <v>167</v>
      </c>
      <c r="M2175" s="566" t="s">
        <v>165</v>
      </c>
      <c r="N2175" s="52" t="str">
        <f>IF(AND('331-CT'!$E$7=TH!H2175,OR(L2175="331",M2175="331")),"331",IF(AND(OR(L2175="131",M2175="131"),H2175='131-CT'!$E$7),"131",""))</f>
        <v/>
      </c>
      <c r="O2175" s="857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0"/>
      <c r="AC2175" s="557"/>
      <c r="AD2175" s="557"/>
    </row>
    <row r="2176" spans="1:30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18"/>
        <v>2</v>
      </c>
      <c r="C2176" s="184">
        <f t="shared" si="117"/>
        <v>42424</v>
      </c>
      <c r="D2176" s="184" t="s">
        <v>1579</v>
      </c>
      <c r="E2176" s="191">
        <v>42424</v>
      </c>
      <c r="F2176" s="192" t="s">
        <v>546</v>
      </c>
      <c r="G2176" s="456" t="s">
        <v>469</v>
      </c>
      <c r="H2176" s="7" t="s">
        <v>1581</v>
      </c>
      <c r="I2176" s="256">
        <v>200</v>
      </c>
      <c r="J2176" s="256">
        <v>10929.255264311856</v>
      </c>
      <c r="K2176" s="38">
        <f t="shared" si="116"/>
        <v>2185851</v>
      </c>
      <c r="L2176" s="566" t="s">
        <v>167</v>
      </c>
      <c r="M2176" s="566" t="s">
        <v>165</v>
      </c>
      <c r="N2176" s="52" t="str">
        <f>IF(AND('331-CT'!$E$7=TH!H2176,OR(L2176="331",M2176="331")),"331",IF(AND(OR(L2176="131",M2176="131"),H2176='131-CT'!$E$7),"131",""))</f>
        <v/>
      </c>
      <c r="O2176" s="857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0"/>
      <c r="AC2176" s="557"/>
      <c r="AD2176" s="557"/>
    </row>
    <row r="2177" spans="1:30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18"/>
        <v>2</v>
      </c>
      <c r="C2177" s="184">
        <f t="shared" si="117"/>
        <v>42424</v>
      </c>
      <c r="D2177" s="184" t="s">
        <v>1579</v>
      </c>
      <c r="E2177" s="191">
        <v>42424</v>
      </c>
      <c r="F2177" s="192" t="s">
        <v>1260</v>
      </c>
      <c r="G2177" s="456" t="s">
        <v>469</v>
      </c>
      <c r="H2177" s="7" t="s">
        <v>1581</v>
      </c>
      <c r="I2177" s="256">
        <v>40</v>
      </c>
      <c r="J2177" s="256">
        <v>12764.70271328026</v>
      </c>
      <c r="K2177" s="38">
        <f t="shared" si="116"/>
        <v>510588</v>
      </c>
      <c r="L2177" s="566" t="s">
        <v>167</v>
      </c>
      <c r="M2177" s="566" t="s">
        <v>165</v>
      </c>
      <c r="N2177" s="52" t="str">
        <f>IF(AND('331-CT'!$E$7=TH!H2177,OR(L2177="331",M2177="331")),"331",IF(AND(OR(L2177="131",M2177="131"),H2177='131-CT'!$E$7),"131",""))</f>
        <v/>
      </c>
      <c r="O2177" s="857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0"/>
      <c r="AC2177" s="557"/>
      <c r="AD2177" s="557"/>
    </row>
    <row r="2178" spans="1:30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18"/>
        <v>2</v>
      </c>
      <c r="C2178" s="184">
        <f t="shared" si="117"/>
        <v>42424</v>
      </c>
      <c r="D2178" s="184" t="s">
        <v>1579</v>
      </c>
      <c r="E2178" s="191">
        <v>42424</v>
      </c>
      <c r="F2178" s="192" t="s">
        <v>727</v>
      </c>
      <c r="G2178" s="456" t="s">
        <v>469</v>
      </c>
      <c r="H2178" s="7" t="s">
        <v>1581</v>
      </c>
      <c r="I2178" s="256">
        <v>5</v>
      </c>
      <c r="J2178" s="256">
        <v>14349.86187375297</v>
      </c>
      <c r="K2178" s="38">
        <f t="shared" si="116"/>
        <v>71749</v>
      </c>
      <c r="L2178" s="566" t="s">
        <v>167</v>
      </c>
      <c r="M2178" s="566" t="s">
        <v>165</v>
      </c>
      <c r="N2178" s="52" t="str">
        <f>IF(AND('331-CT'!$E$7=TH!H2178,OR(L2178="331",M2178="331")),"331",IF(AND(OR(L2178="131",M2178="131"),H2178='131-CT'!$E$7),"131",""))</f>
        <v/>
      </c>
      <c r="O2178" s="857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0"/>
      <c r="AC2178" s="557"/>
      <c r="AD2178" s="557"/>
    </row>
    <row r="2179" spans="1:30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18"/>
        <v>2</v>
      </c>
      <c r="C2179" s="184">
        <f t="shared" si="117"/>
        <v>42424</v>
      </c>
      <c r="D2179" s="184" t="s">
        <v>1579</v>
      </c>
      <c r="E2179" s="191">
        <v>42424</v>
      </c>
      <c r="F2179" s="192" t="s">
        <v>725</v>
      </c>
      <c r="G2179" s="456" t="s">
        <v>469</v>
      </c>
      <c r="H2179" s="7" t="s">
        <v>1581</v>
      </c>
      <c r="I2179" s="256">
        <v>30</v>
      </c>
      <c r="J2179" s="256">
        <v>13849.285296761587</v>
      </c>
      <c r="K2179" s="38">
        <f t="shared" si="116"/>
        <v>415479</v>
      </c>
      <c r="L2179" s="566" t="s">
        <v>167</v>
      </c>
      <c r="M2179" s="566" t="s">
        <v>165</v>
      </c>
      <c r="N2179" s="52" t="str">
        <f>IF(AND('331-CT'!$E$7=TH!H2179,OR(L2179="331",M2179="331")),"331",IF(AND(OR(L2179="131",M2179="131"),H2179='131-CT'!$E$7),"131",""))</f>
        <v/>
      </c>
      <c r="O2179" s="857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0"/>
      <c r="AC2179" s="557"/>
      <c r="AD2179" s="557"/>
    </row>
    <row r="2180" spans="1:30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18"/>
        <v>2</v>
      </c>
      <c r="C2180" s="184">
        <f t="shared" si="117"/>
        <v>42424</v>
      </c>
      <c r="D2180" s="184" t="s">
        <v>1579</v>
      </c>
      <c r="E2180" s="191">
        <v>42424</v>
      </c>
      <c r="F2180" s="192" t="s">
        <v>744</v>
      </c>
      <c r="G2180" s="456" t="s">
        <v>469</v>
      </c>
      <c r="H2180" s="7" t="s">
        <v>1581</v>
      </c>
      <c r="I2180" s="256">
        <v>550</v>
      </c>
      <c r="J2180" s="256">
        <v>8176.0840908592509</v>
      </c>
      <c r="K2180" s="38">
        <f t="shared" si="116"/>
        <v>4496846</v>
      </c>
      <c r="L2180" s="566" t="s">
        <v>167</v>
      </c>
      <c r="M2180" s="566" t="s">
        <v>165</v>
      </c>
      <c r="N2180" s="52" t="str">
        <f>IF(AND('331-CT'!$E$7=TH!H2180,OR(L2180="331",M2180="331")),"331",IF(AND(OR(L2180="131",M2180="131"),H2180='131-CT'!$E$7),"131",""))</f>
        <v/>
      </c>
      <c r="O2180" s="857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0"/>
      <c r="AC2180" s="557"/>
      <c r="AD2180" s="557"/>
    </row>
    <row r="2181" spans="1:30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18"/>
        <v>2</v>
      </c>
      <c r="C2181" s="184">
        <f t="shared" si="117"/>
        <v>42424</v>
      </c>
      <c r="D2181" s="184" t="s">
        <v>1579</v>
      </c>
      <c r="E2181" s="191">
        <v>42424</v>
      </c>
      <c r="F2181" s="192" t="s">
        <v>548</v>
      </c>
      <c r="G2181" s="456" t="s">
        <v>469</v>
      </c>
      <c r="H2181" s="7" t="s">
        <v>1581</v>
      </c>
      <c r="I2181" s="256">
        <v>45</v>
      </c>
      <c r="J2181" s="256">
        <v>12264.126136288876</v>
      </c>
      <c r="K2181" s="38">
        <f t="shared" si="116"/>
        <v>551886</v>
      </c>
      <c r="L2181" s="566" t="s">
        <v>167</v>
      </c>
      <c r="M2181" s="566" t="s">
        <v>165</v>
      </c>
      <c r="N2181" s="52" t="str">
        <f>IF(AND('331-CT'!$E$7=TH!H2181,OR(L2181="331",M2181="331")),"331",IF(AND(OR(L2181="131",M2181="131"),H2181='131-CT'!$E$7),"131",""))</f>
        <v/>
      </c>
      <c r="O2181" s="857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0"/>
      <c r="AC2181" s="557"/>
      <c r="AD2181" s="557"/>
    </row>
    <row r="2182" spans="1:30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18"/>
        <v>2</v>
      </c>
      <c r="C2182" s="184">
        <f t="shared" si="117"/>
        <v>42425</v>
      </c>
      <c r="D2182" s="184" t="s">
        <v>1579</v>
      </c>
      <c r="E2182" s="191">
        <v>42425</v>
      </c>
      <c r="F2182" s="192" t="s">
        <v>961</v>
      </c>
      <c r="G2182" s="456" t="s">
        <v>470</v>
      </c>
      <c r="H2182" s="7" t="s">
        <v>1581</v>
      </c>
      <c r="I2182" s="256">
        <v>110</v>
      </c>
      <c r="J2182" s="256">
        <v>6924.6426483807936</v>
      </c>
      <c r="K2182" s="38">
        <f t="shared" si="116"/>
        <v>761711</v>
      </c>
      <c r="L2182" s="566" t="s">
        <v>167</v>
      </c>
      <c r="M2182" s="566" t="s">
        <v>165</v>
      </c>
      <c r="N2182" s="52" t="str">
        <f>IF(AND('331-CT'!$E$7=TH!H2182,OR(L2182="331",M2182="331")),"331",IF(AND(OR(L2182="131",M2182="131"),H2182='131-CT'!$E$7),"131",""))</f>
        <v/>
      </c>
      <c r="O2182" s="857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0"/>
      <c r="AC2182" s="557"/>
    </row>
    <row r="2183" spans="1:30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18"/>
        <v>2</v>
      </c>
      <c r="C2183" s="184">
        <f t="shared" si="117"/>
        <v>42425</v>
      </c>
      <c r="D2183" s="184" t="s">
        <v>1579</v>
      </c>
      <c r="E2183" s="191">
        <v>42425</v>
      </c>
      <c r="F2183" s="192" t="s">
        <v>510</v>
      </c>
      <c r="G2183" s="456" t="s">
        <v>470</v>
      </c>
      <c r="H2183" s="7" t="s">
        <v>1581</v>
      </c>
      <c r="I2183" s="256">
        <v>1172</v>
      </c>
      <c r="J2183" s="256">
        <v>10595.537546317601</v>
      </c>
      <c r="K2183" s="38">
        <f t="shared" si="116"/>
        <v>12417970</v>
      </c>
      <c r="L2183" s="566" t="s">
        <v>167</v>
      </c>
      <c r="M2183" s="566" t="s">
        <v>165</v>
      </c>
      <c r="N2183" s="52" t="str">
        <f>IF(AND('331-CT'!$E$7=TH!H2183,OR(L2183="331",M2183="331")),"331",IF(AND(OR(L2183="131",M2183="131"),H2183='131-CT'!$E$7),"131",""))</f>
        <v/>
      </c>
      <c r="O2183" s="857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0"/>
    </row>
    <row r="2184" spans="1:30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18"/>
        <v>2</v>
      </c>
      <c r="C2184" s="184">
        <f t="shared" si="117"/>
        <v>42425</v>
      </c>
      <c r="D2184" s="184" t="s">
        <v>1579</v>
      </c>
      <c r="E2184" s="191">
        <v>42425</v>
      </c>
      <c r="F2184" s="192" t="s">
        <v>947</v>
      </c>
      <c r="G2184" s="456" t="s">
        <v>470</v>
      </c>
      <c r="H2184" s="7" t="s">
        <v>1581</v>
      </c>
      <c r="I2184" s="256">
        <v>110</v>
      </c>
      <c r="J2184" s="256">
        <v>11012.684693810421</v>
      </c>
      <c r="K2184" s="38">
        <f t="shared" si="116"/>
        <v>1211395</v>
      </c>
      <c r="L2184" s="566" t="s">
        <v>167</v>
      </c>
      <c r="M2184" s="566" t="s">
        <v>165</v>
      </c>
      <c r="N2184" s="52" t="str">
        <f>IF(AND('331-CT'!$E$7=TH!H2184,OR(L2184="331",M2184="331")),"331",IF(AND(OR(L2184="131",M2184="131"),H2184='131-CT'!$E$7),"131",""))</f>
        <v/>
      </c>
      <c r="O2184" s="857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0"/>
    </row>
    <row r="2185" spans="1:30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18"/>
        <v>2</v>
      </c>
      <c r="C2185" s="184">
        <f t="shared" si="117"/>
        <v>42425</v>
      </c>
      <c r="D2185" s="184" t="s">
        <v>1579</v>
      </c>
      <c r="E2185" s="191">
        <v>42425</v>
      </c>
      <c r="F2185" s="192" t="s">
        <v>962</v>
      </c>
      <c r="G2185" s="456" t="s">
        <v>470</v>
      </c>
      <c r="H2185" s="7" t="s">
        <v>1581</v>
      </c>
      <c r="I2185" s="256">
        <v>110</v>
      </c>
      <c r="J2185" s="256">
        <v>13014.99100177595</v>
      </c>
      <c r="K2185" s="38">
        <f t="shared" si="116"/>
        <v>1431649</v>
      </c>
      <c r="L2185" s="566" t="s">
        <v>167</v>
      </c>
      <c r="M2185" s="566" t="s">
        <v>165</v>
      </c>
      <c r="N2185" s="52" t="str">
        <f>IF(AND('331-CT'!$E$7=TH!H2185,OR(L2185="331",M2185="331")),"331",IF(AND(OR(L2185="131",M2185="131"),H2185='131-CT'!$E$7),"131",""))</f>
        <v/>
      </c>
      <c r="O2185" s="857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0"/>
    </row>
    <row r="2186" spans="1:30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18"/>
        <v>2</v>
      </c>
      <c r="C2186" s="184">
        <f t="shared" si="117"/>
        <v>42425</v>
      </c>
      <c r="D2186" s="184" t="s">
        <v>1579</v>
      </c>
      <c r="E2186" s="191">
        <v>42425</v>
      </c>
      <c r="F2186" s="192" t="s">
        <v>728</v>
      </c>
      <c r="G2186" s="456" t="s">
        <v>472</v>
      </c>
      <c r="H2186" s="7" t="s">
        <v>1581</v>
      </c>
      <c r="I2186" s="256">
        <v>20</v>
      </c>
      <c r="J2186" s="256">
        <v>11012.684693810421</v>
      </c>
      <c r="K2186" s="38">
        <f t="shared" si="116"/>
        <v>220254</v>
      </c>
      <c r="L2186" s="566" t="s">
        <v>167</v>
      </c>
      <c r="M2186" s="566" t="s">
        <v>165</v>
      </c>
      <c r="N2186" s="52" t="str">
        <f>IF(AND('331-CT'!$E$7=TH!H2186,OR(L2186="331",M2186="331")),"331",IF(AND(OR(L2186="131",M2186="131"),H2186='131-CT'!$E$7),"131",""))</f>
        <v/>
      </c>
      <c r="O2186" s="857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0"/>
    </row>
    <row r="2187" spans="1:30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18"/>
        <v>2</v>
      </c>
      <c r="C2187" s="184">
        <f t="shared" si="117"/>
        <v>42425</v>
      </c>
      <c r="D2187" s="184" t="s">
        <v>1579</v>
      </c>
      <c r="E2187" s="191">
        <v>42425</v>
      </c>
      <c r="F2187" s="192" t="s">
        <v>726</v>
      </c>
      <c r="G2187" s="456" t="s">
        <v>472</v>
      </c>
      <c r="H2187" s="7" t="s">
        <v>1581</v>
      </c>
      <c r="I2187" s="256">
        <v>40</v>
      </c>
      <c r="J2187" s="256">
        <v>7592.0780843693046</v>
      </c>
      <c r="K2187" s="38">
        <f t="shared" si="116"/>
        <v>303683</v>
      </c>
      <c r="L2187" s="566" t="s">
        <v>167</v>
      </c>
      <c r="M2187" s="566" t="s">
        <v>165</v>
      </c>
      <c r="N2187" s="52" t="str">
        <f>IF(AND('331-CT'!$E$7=TH!H2187,OR(L2187="331",M2187="331")),"331",IF(AND(OR(L2187="131",M2187="131"),H2187='131-CT'!$E$7),"131",""))</f>
        <v/>
      </c>
      <c r="O2187" s="857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0"/>
    </row>
    <row r="2188" spans="1:30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18"/>
        <v>2</v>
      </c>
      <c r="C2188" s="184">
        <f t="shared" si="117"/>
        <v>42425</v>
      </c>
      <c r="D2188" s="184" t="s">
        <v>1579</v>
      </c>
      <c r="E2188" s="191">
        <v>42425</v>
      </c>
      <c r="F2188" s="192" t="s">
        <v>560</v>
      </c>
      <c r="G2188" s="456" t="s">
        <v>472</v>
      </c>
      <c r="H2188" s="7" t="s">
        <v>1581</v>
      </c>
      <c r="I2188" s="256">
        <v>100</v>
      </c>
      <c r="J2188" s="256">
        <v>8259.5135203578157</v>
      </c>
      <c r="K2188" s="38">
        <f t="shared" si="116"/>
        <v>825951</v>
      </c>
      <c r="L2188" s="566" t="s">
        <v>167</v>
      </c>
      <c r="M2188" s="566" t="s">
        <v>165</v>
      </c>
      <c r="N2188" s="52" t="str">
        <f>IF(AND('331-CT'!$E$7=TH!H2188,OR(L2188="331",M2188="331")),"331",IF(AND(OR(L2188="131",M2188="131"),H2188='131-CT'!$E$7),"131",""))</f>
        <v/>
      </c>
      <c r="O2188" s="857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0"/>
    </row>
    <row r="2189" spans="1:30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18"/>
        <v>2</v>
      </c>
      <c r="C2189" s="184">
        <f t="shared" si="117"/>
        <v>42425</v>
      </c>
      <c r="D2189" s="184" t="s">
        <v>1579</v>
      </c>
      <c r="E2189" s="191">
        <v>42425</v>
      </c>
      <c r="F2189" s="192" t="s">
        <v>547</v>
      </c>
      <c r="G2189" s="456" t="s">
        <v>472</v>
      </c>
      <c r="H2189" s="7" t="s">
        <v>1581</v>
      </c>
      <c r="I2189" s="256">
        <v>60</v>
      </c>
      <c r="J2189" s="256">
        <v>14933.867880242919</v>
      </c>
      <c r="K2189" s="38">
        <f t="shared" si="116"/>
        <v>896032</v>
      </c>
      <c r="L2189" s="566" t="s">
        <v>167</v>
      </c>
      <c r="M2189" s="566" t="s">
        <v>165</v>
      </c>
      <c r="N2189" s="52" t="str">
        <f>IF(AND('331-CT'!$E$7=TH!H2189,OR(L2189="331",M2189="331")),"331",IF(AND(OR(L2189="131",M2189="131"),H2189='131-CT'!$E$7),"131",""))</f>
        <v/>
      </c>
      <c r="O2189" s="857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0"/>
    </row>
    <row r="2190" spans="1:30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18"/>
        <v>2</v>
      </c>
      <c r="C2190" s="184">
        <f t="shared" si="117"/>
        <v>42425</v>
      </c>
      <c r="D2190" s="184" t="s">
        <v>1579</v>
      </c>
      <c r="E2190" s="191">
        <v>42425</v>
      </c>
      <c r="F2190" s="192" t="s">
        <v>734</v>
      </c>
      <c r="G2190" s="456" t="s">
        <v>472</v>
      </c>
      <c r="H2190" s="7" t="s">
        <v>1581</v>
      </c>
      <c r="I2190" s="256">
        <v>45</v>
      </c>
      <c r="J2190" s="256">
        <v>13181.849860773078</v>
      </c>
      <c r="K2190" s="38">
        <f t="shared" si="116"/>
        <v>593183</v>
      </c>
      <c r="L2190" s="566" t="s">
        <v>167</v>
      </c>
      <c r="M2190" s="566" t="s">
        <v>165</v>
      </c>
      <c r="N2190" s="52" t="str">
        <f>IF(AND('331-CT'!$E$7=TH!H2190,OR(L2190="331",M2190="331")),"331",IF(AND(OR(L2190="131",M2190="131"),H2190='131-CT'!$E$7),"131",""))</f>
        <v/>
      </c>
      <c r="O2190" s="857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0"/>
    </row>
    <row r="2191" spans="1:30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18"/>
        <v>2</v>
      </c>
      <c r="C2191" s="184">
        <f t="shared" si="117"/>
        <v>42425</v>
      </c>
      <c r="D2191" s="184" t="s">
        <v>1579</v>
      </c>
      <c r="E2191" s="37">
        <v>42425</v>
      </c>
      <c r="F2191" s="192" t="s">
        <v>547</v>
      </c>
      <c r="G2191" s="456" t="s">
        <v>472</v>
      </c>
      <c r="H2191" s="7" t="s">
        <v>1581</v>
      </c>
      <c r="I2191" s="256">
        <v>15</v>
      </c>
      <c r="J2191" s="256">
        <v>14933.867880242919</v>
      </c>
      <c r="K2191" s="38">
        <f t="shared" si="116"/>
        <v>224008</v>
      </c>
      <c r="L2191" s="566" t="s">
        <v>167</v>
      </c>
      <c r="M2191" s="566" t="s">
        <v>165</v>
      </c>
      <c r="N2191" s="52" t="str">
        <f>IF(AND('331-CT'!$E$7=TH!H2191,OR(L2191="331",M2191="331")),"331",IF(AND(OR(L2191="131",M2191="131"),H2191='131-CT'!$E$7),"131",""))</f>
        <v/>
      </c>
      <c r="O2191" s="857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0"/>
    </row>
    <row r="2192" spans="1:30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18"/>
        <v>2</v>
      </c>
      <c r="C2192" s="184">
        <f t="shared" si="117"/>
        <v>42425</v>
      </c>
      <c r="D2192" s="184" t="s">
        <v>1579</v>
      </c>
      <c r="E2192" s="37">
        <v>42425</v>
      </c>
      <c r="F2192" s="192" t="s">
        <v>737</v>
      </c>
      <c r="G2192" s="456" t="s">
        <v>472</v>
      </c>
      <c r="H2192" s="7" t="s">
        <v>1581</v>
      </c>
      <c r="I2192" s="256">
        <v>10</v>
      </c>
      <c r="J2192" s="256">
        <v>13014.99100177595</v>
      </c>
      <c r="K2192" s="38">
        <f t="shared" si="116"/>
        <v>130150</v>
      </c>
      <c r="L2192" s="566" t="s">
        <v>167</v>
      </c>
      <c r="M2192" s="566" t="s">
        <v>165</v>
      </c>
      <c r="N2192" s="52" t="str">
        <f>IF(AND('331-CT'!$E$7=TH!H2192,OR(L2192="331",M2192="331")),"331",IF(AND(OR(L2192="131",M2192="131"),H2192='131-CT'!$E$7),"131",""))</f>
        <v/>
      </c>
      <c r="O2192" s="857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0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18"/>
        <v>2</v>
      </c>
      <c r="C2193" s="184">
        <f t="shared" si="117"/>
        <v>42427</v>
      </c>
      <c r="D2193" s="184" t="s">
        <v>1579</v>
      </c>
      <c r="E2193" s="37">
        <v>42427</v>
      </c>
      <c r="F2193" s="192" t="s">
        <v>729</v>
      </c>
      <c r="G2193" s="456" t="s">
        <v>963</v>
      </c>
      <c r="H2193" s="7" t="s">
        <v>1581</v>
      </c>
      <c r="I2193" s="256">
        <v>40</v>
      </c>
      <c r="J2193" s="256">
        <v>9260.6666743405804</v>
      </c>
      <c r="K2193" s="38">
        <f t="shared" si="116"/>
        <v>370427</v>
      </c>
      <c r="L2193" s="566" t="s">
        <v>167</v>
      </c>
      <c r="M2193" s="566" t="s">
        <v>165</v>
      </c>
      <c r="N2193" s="52" t="str">
        <f>IF(AND('331-CT'!$E$7=TH!H2193,OR(L2193="331",M2193="331")),"331",IF(AND(OR(L2193="131",M2193="131"),H2193='131-CT'!$E$7),"131",""))</f>
        <v/>
      </c>
      <c r="O2193" s="857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0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18"/>
        <v>2</v>
      </c>
      <c r="C2194" s="184">
        <f t="shared" si="117"/>
        <v>42427</v>
      </c>
      <c r="D2194" s="184" t="s">
        <v>1579</v>
      </c>
      <c r="E2194" s="37">
        <v>42427</v>
      </c>
      <c r="F2194" s="192" t="s">
        <v>738</v>
      </c>
      <c r="G2194" s="456" t="s">
        <v>963</v>
      </c>
      <c r="H2194" s="7" t="s">
        <v>1581</v>
      </c>
      <c r="I2194" s="256">
        <v>20</v>
      </c>
      <c r="J2194" s="256">
        <v>12180.696706790313</v>
      </c>
      <c r="K2194" s="38">
        <f t="shared" si="116"/>
        <v>243614</v>
      </c>
      <c r="L2194" s="566" t="s">
        <v>167</v>
      </c>
      <c r="M2194" s="566" t="s">
        <v>165</v>
      </c>
      <c r="N2194" s="52" t="str">
        <f>IF(AND('331-CT'!$E$7=TH!H2194,OR(L2194="331",M2194="331")),"331",IF(AND(OR(L2194="131",M2194="131"),H2194='131-CT'!$E$7),"131",""))</f>
        <v/>
      </c>
      <c r="O2194" s="857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0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18"/>
        <v>2</v>
      </c>
      <c r="C2195" s="184">
        <f t="shared" si="117"/>
        <v>42427</v>
      </c>
      <c r="D2195" s="184" t="s">
        <v>1579</v>
      </c>
      <c r="E2195" s="37">
        <v>42427</v>
      </c>
      <c r="F2195" s="192" t="s">
        <v>727</v>
      </c>
      <c r="G2195" s="456" t="s">
        <v>963</v>
      </c>
      <c r="H2195" s="7" t="s">
        <v>1581</v>
      </c>
      <c r="I2195" s="256">
        <v>10</v>
      </c>
      <c r="J2195" s="256">
        <v>14349.86187375297</v>
      </c>
      <c r="K2195" s="38">
        <f t="shared" ref="K2195:K2258" si="119">ROUND(I2195*J2195,0)</f>
        <v>143499</v>
      </c>
      <c r="L2195" s="566" t="s">
        <v>167</v>
      </c>
      <c r="M2195" s="566" t="s">
        <v>165</v>
      </c>
      <c r="N2195" s="52" t="str">
        <f>IF(AND('331-CT'!$E$7=TH!H2195,OR(L2195="331",M2195="331")),"331",IF(AND(OR(L2195="131",M2195="131"),H2195='131-CT'!$E$7),"131",""))</f>
        <v/>
      </c>
      <c r="O2195" s="857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0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18"/>
        <v>2</v>
      </c>
      <c r="C2196" s="184">
        <f t="shared" si="117"/>
        <v>42427</v>
      </c>
      <c r="D2196" s="184" t="s">
        <v>1579</v>
      </c>
      <c r="E2196" s="37">
        <v>42427</v>
      </c>
      <c r="F2196" s="192" t="s">
        <v>1261</v>
      </c>
      <c r="G2196" s="456" t="s">
        <v>963</v>
      </c>
      <c r="H2196" s="7" t="s">
        <v>1581</v>
      </c>
      <c r="I2196" s="256">
        <v>15</v>
      </c>
      <c r="J2196" s="256">
        <v>12514.414424784569</v>
      </c>
      <c r="K2196" s="38">
        <f t="shared" si="119"/>
        <v>187716</v>
      </c>
      <c r="L2196" s="566" t="s">
        <v>167</v>
      </c>
      <c r="M2196" s="566" t="s">
        <v>165</v>
      </c>
      <c r="N2196" s="52" t="str">
        <f>IF(AND('331-CT'!$E$7=TH!H2196,OR(L2196="331",M2196="331")),"331",IF(AND(OR(L2196="131",M2196="131"),H2196='131-CT'!$E$7),"131",""))</f>
        <v/>
      </c>
      <c r="O2196" s="857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0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18"/>
        <v>2</v>
      </c>
      <c r="C2197" s="184">
        <f t="shared" si="117"/>
        <v>42427</v>
      </c>
      <c r="D2197" s="184" t="s">
        <v>1579</v>
      </c>
      <c r="E2197" s="37">
        <v>42427</v>
      </c>
      <c r="F2197" s="192" t="s">
        <v>1262</v>
      </c>
      <c r="G2197" s="456" t="s">
        <v>963</v>
      </c>
      <c r="H2197" s="7" t="s">
        <v>1581</v>
      </c>
      <c r="I2197" s="256">
        <v>10</v>
      </c>
      <c r="J2197" s="256">
        <v>18604.762778179724</v>
      </c>
      <c r="K2197" s="38">
        <f t="shared" si="119"/>
        <v>186048</v>
      </c>
      <c r="L2197" s="566" t="s">
        <v>167</v>
      </c>
      <c r="M2197" s="566" t="s">
        <v>165</v>
      </c>
      <c r="N2197" s="52" t="str">
        <f>IF(AND('331-CT'!$E$7=TH!H2197,OR(L2197="331",M2197="331")),"331",IF(AND(OR(L2197="131",M2197="131"),H2197='131-CT'!$E$7),"131",""))</f>
        <v/>
      </c>
      <c r="O2197" s="857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0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18"/>
        <v>2</v>
      </c>
      <c r="C2198" s="184">
        <f t="shared" si="117"/>
        <v>42427</v>
      </c>
      <c r="D2198" s="184" t="s">
        <v>1579</v>
      </c>
      <c r="E2198" s="37">
        <v>42427</v>
      </c>
      <c r="F2198" s="192" t="s">
        <v>735</v>
      </c>
      <c r="G2198" s="456" t="s">
        <v>963</v>
      </c>
      <c r="H2198" s="7" t="s">
        <v>1581</v>
      </c>
      <c r="I2198" s="256">
        <v>10</v>
      </c>
      <c r="J2198" s="256">
        <v>18771.621637176853</v>
      </c>
      <c r="K2198" s="38">
        <f t="shared" si="119"/>
        <v>187716</v>
      </c>
      <c r="L2198" s="566" t="s">
        <v>167</v>
      </c>
      <c r="M2198" s="566" t="s">
        <v>165</v>
      </c>
      <c r="N2198" s="52" t="str">
        <f>IF(AND('331-CT'!$E$7=TH!H2198,OR(L2198="331",M2198="331")),"331",IF(AND(OR(L2198="131",M2198="131"),H2198='131-CT'!$E$7),"131",""))</f>
        <v/>
      </c>
      <c r="O2198" s="857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0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18"/>
        <v>2</v>
      </c>
      <c r="C2199" s="184">
        <f t="shared" si="117"/>
        <v>42427</v>
      </c>
      <c r="D2199" s="184" t="s">
        <v>1579</v>
      </c>
      <c r="E2199" s="37">
        <v>42427</v>
      </c>
      <c r="F2199" s="192" t="s">
        <v>1263</v>
      </c>
      <c r="G2199" s="456" t="s">
        <v>963</v>
      </c>
      <c r="H2199" s="7" t="s">
        <v>1581</v>
      </c>
      <c r="I2199" s="256">
        <v>20</v>
      </c>
      <c r="J2199" s="256">
        <v>12931.561572277387</v>
      </c>
      <c r="K2199" s="38">
        <f t="shared" si="119"/>
        <v>258631</v>
      </c>
      <c r="L2199" s="566" t="s">
        <v>167</v>
      </c>
      <c r="M2199" s="566" t="s">
        <v>165</v>
      </c>
      <c r="N2199" s="52" t="str">
        <f>IF(AND('331-CT'!$E$7=TH!H2199,OR(L2199="331",M2199="331")),"331",IF(AND(OR(L2199="131",M2199="131"),H2199='131-CT'!$E$7),"131",""))</f>
        <v/>
      </c>
      <c r="O2199" s="857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0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18"/>
        <v>2</v>
      </c>
      <c r="C2200" s="184">
        <f t="shared" si="117"/>
        <v>42427</v>
      </c>
      <c r="D2200" s="184" t="s">
        <v>1579</v>
      </c>
      <c r="E2200" s="37">
        <v>42427</v>
      </c>
      <c r="F2200" s="192" t="s">
        <v>434</v>
      </c>
      <c r="G2200" s="456" t="s">
        <v>473</v>
      </c>
      <c r="H2200" s="7" t="s">
        <v>1581</v>
      </c>
      <c r="I2200" s="256">
        <v>2900</v>
      </c>
      <c r="J2200" s="256">
        <v>8760.0900973491971</v>
      </c>
      <c r="K2200" s="38">
        <f t="shared" si="119"/>
        <v>25404261</v>
      </c>
      <c r="L2200" s="566" t="s">
        <v>167</v>
      </c>
      <c r="M2200" s="566" t="s">
        <v>165</v>
      </c>
      <c r="N2200" s="52" t="str">
        <f>IF(AND('331-CT'!$E$7=TH!H2200,OR(L2200="331",M2200="331")),"331",IF(AND(OR(L2200="131",M2200="131"),H2200='131-CT'!$E$7),"131",""))</f>
        <v/>
      </c>
      <c r="O2200" s="857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0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18"/>
        <v>2</v>
      </c>
      <c r="C2201" s="184">
        <f t="shared" si="117"/>
        <v>42427</v>
      </c>
      <c r="D2201" s="184" t="s">
        <v>1579</v>
      </c>
      <c r="E2201" s="37">
        <v>42427</v>
      </c>
      <c r="F2201" s="192" t="s">
        <v>964</v>
      </c>
      <c r="G2201" s="456" t="s">
        <v>473</v>
      </c>
      <c r="H2201" s="7" t="s">
        <v>1581</v>
      </c>
      <c r="I2201" s="256">
        <v>240</v>
      </c>
      <c r="J2201" s="256">
        <v>11763.549559297493</v>
      </c>
      <c r="K2201" s="38">
        <f t="shared" si="119"/>
        <v>2823252</v>
      </c>
      <c r="L2201" s="566" t="s">
        <v>167</v>
      </c>
      <c r="M2201" s="566" t="s">
        <v>165</v>
      </c>
      <c r="N2201" s="52" t="str">
        <f>IF(AND('331-CT'!$E$7=TH!H2201,OR(L2201="331",M2201="331")),"331",IF(AND(OR(L2201="131",M2201="131"),H2201='131-CT'!$E$7),"131",""))</f>
        <v/>
      </c>
      <c r="O2201" s="857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0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18"/>
        <v>2</v>
      </c>
      <c r="C2202" s="184">
        <f t="shared" si="117"/>
        <v>42427</v>
      </c>
      <c r="D2202" s="184" t="s">
        <v>1579</v>
      </c>
      <c r="E2202" s="37">
        <v>42427</v>
      </c>
      <c r="F2202" s="192" t="s">
        <v>965</v>
      </c>
      <c r="G2202" s="456" t="s">
        <v>473</v>
      </c>
      <c r="H2202" s="7" t="s">
        <v>1581</v>
      </c>
      <c r="I2202" s="256">
        <v>23</v>
      </c>
      <c r="J2202" s="256">
        <v>11513.261270801802</v>
      </c>
      <c r="K2202" s="38">
        <f t="shared" si="119"/>
        <v>264805</v>
      </c>
      <c r="L2202" s="566" t="s">
        <v>167</v>
      </c>
      <c r="M2202" s="566" t="s">
        <v>165</v>
      </c>
      <c r="N2202" s="52" t="str">
        <f>IF(AND('331-CT'!$E$7=TH!H2202,OR(L2202="331",M2202="331")),"331",IF(AND(OR(L2202="131",M2202="131"),H2202='131-CT'!$E$7),"131",""))</f>
        <v/>
      </c>
      <c r="O2202" s="857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0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18"/>
        <v>2</v>
      </c>
      <c r="C2203" s="184">
        <f t="shared" si="117"/>
        <v>42427</v>
      </c>
      <c r="D2203" s="184" t="s">
        <v>1579</v>
      </c>
      <c r="E2203" s="37">
        <v>42427</v>
      </c>
      <c r="F2203" s="192" t="s">
        <v>510</v>
      </c>
      <c r="G2203" s="456" t="s">
        <v>473</v>
      </c>
      <c r="H2203" s="7" t="s">
        <v>1581</v>
      </c>
      <c r="I2203" s="256">
        <v>202</v>
      </c>
      <c r="J2203" s="256">
        <v>10595.537546317601</v>
      </c>
      <c r="K2203" s="38">
        <f t="shared" si="119"/>
        <v>2140299</v>
      </c>
      <c r="L2203" s="566" t="s">
        <v>167</v>
      </c>
      <c r="M2203" s="566" t="s">
        <v>165</v>
      </c>
      <c r="N2203" s="52" t="str">
        <f>IF(AND('331-CT'!$E$7=TH!H2203,OR(L2203="331",M2203="331")),"331",IF(AND(OR(L2203="131",M2203="131"),H2203='131-CT'!$E$7),"131",""))</f>
        <v/>
      </c>
      <c r="O2203" s="857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0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18"/>
        <v>2</v>
      </c>
      <c r="C2204" s="184">
        <f t="shared" si="117"/>
        <v>42427</v>
      </c>
      <c r="D2204" s="184" t="s">
        <v>1579</v>
      </c>
      <c r="E2204" s="37">
        <v>42427</v>
      </c>
      <c r="F2204" s="192" t="s">
        <v>570</v>
      </c>
      <c r="G2204" s="456" t="s">
        <v>474</v>
      </c>
      <c r="H2204" s="7" t="s">
        <v>1581</v>
      </c>
      <c r="I2204" s="256">
        <v>507</v>
      </c>
      <c r="J2204" s="256">
        <v>8092.654661360687</v>
      </c>
      <c r="K2204" s="38">
        <f t="shared" si="119"/>
        <v>4102976</v>
      </c>
      <c r="L2204" s="566" t="s">
        <v>167</v>
      </c>
      <c r="M2204" s="566" t="s">
        <v>165</v>
      </c>
      <c r="N2204" s="52" t="str">
        <f>IF(AND('331-CT'!$E$7=TH!H2204,OR(L2204="331",M2204="331")),"331",IF(AND(OR(L2204="131",M2204="131"),H2204='131-CT'!$E$7),"131",""))</f>
        <v/>
      </c>
      <c r="O2204" s="857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0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18"/>
        <v>2</v>
      </c>
      <c r="C2205" s="184">
        <f t="shared" si="117"/>
        <v>42429</v>
      </c>
      <c r="D2205" s="184" t="s">
        <v>1579</v>
      </c>
      <c r="E2205" s="37">
        <v>42429</v>
      </c>
      <c r="F2205" s="192" t="s">
        <v>466</v>
      </c>
      <c r="G2205" s="456" t="s">
        <v>476</v>
      </c>
      <c r="H2205" s="7" t="s">
        <v>1581</v>
      </c>
      <c r="I2205" s="256">
        <v>344</v>
      </c>
      <c r="J2205" s="256">
        <v>5673.2012059023382</v>
      </c>
      <c r="K2205" s="38">
        <f t="shared" si="119"/>
        <v>1951581</v>
      </c>
      <c r="L2205" s="566" t="s">
        <v>167</v>
      </c>
      <c r="M2205" s="566" t="s">
        <v>165</v>
      </c>
      <c r="N2205" s="52" t="str">
        <f>IF(AND('331-CT'!$E$7=TH!H2205,OR(L2205="331",M2205="331")),"331",IF(AND(OR(L2205="131",M2205="131"),H2205='131-CT'!$E$7),"131",""))</f>
        <v/>
      </c>
      <c r="O2205" s="857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0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18"/>
        <v>2</v>
      </c>
      <c r="C2206" s="184">
        <f t="shared" ref="C2206:C2269" si="120">E2206</f>
        <v>42429</v>
      </c>
      <c r="D2206" s="184" t="s">
        <v>1579</v>
      </c>
      <c r="E2206" s="37">
        <v>42429</v>
      </c>
      <c r="F2206" s="192" t="s">
        <v>966</v>
      </c>
      <c r="G2206" s="456" t="s">
        <v>477</v>
      </c>
      <c r="H2206" s="7" t="s">
        <v>1581</v>
      </c>
      <c r="I2206" s="256">
        <v>204</v>
      </c>
      <c r="J2206" s="256">
        <v>7091.5015073779214</v>
      </c>
      <c r="K2206" s="38">
        <f t="shared" si="119"/>
        <v>1446666</v>
      </c>
      <c r="L2206" s="566" t="s">
        <v>167</v>
      </c>
      <c r="M2206" s="566" t="s">
        <v>165</v>
      </c>
      <c r="N2206" s="52" t="str">
        <f>IF(AND('331-CT'!$E$7=TH!H2206,OR(L2206="331",M2206="331")),"331",IF(AND(OR(L2206="131",M2206="131"),H2206='131-CT'!$E$7),"131",""))</f>
        <v/>
      </c>
      <c r="O2206" s="857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0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18"/>
        <v>2</v>
      </c>
      <c r="C2207" s="184">
        <f t="shared" si="120"/>
        <v>42429</v>
      </c>
      <c r="D2207" s="184" t="s">
        <v>1579</v>
      </c>
      <c r="E2207" s="37">
        <v>42429</v>
      </c>
      <c r="F2207" s="192" t="s">
        <v>967</v>
      </c>
      <c r="G2207" s="456" t="s">
        <v>477</v>
      </c>
      <c r="H2207" s="7" t="s">
        <v>1581</v>
      </c>
      <c r="I2207" s="256">
        <v>310</v>
      </c>
      <c r="J2207" s="256">
        <v>6674.3543598851029</v>
      </c>
      <c r="K2207" s="38">
        <f t="shared" si="119"/>
        <v>2069050</v>
      </c>
      <c r="L2207" s="566" t="s">
        <v>167</v>
      </c>
      <c r="M2207" s="566" t="s">
        <v>165</v>
      </c>
      <c r="N2207" s="52" t="str">
        <f>IF(AND('331-CT'!$E$7=TH!H2207,OR(L2207="331",M2207="331")),"331",IF(AND(OR(L2207="131",M2207="131"),H2207='131-CT'!$E$7),"131",""))</f>
        <v/>
      </c>
      <c r="O2207" s="857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0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118"/>
        <v>2</v>
      </c>
      <c r="C2208" s="184">
        <f t="shared" si="120"/>
        <v>42429</v>
      </c>
      <c r="D2208" s="184" t="s">
        <v>1579</v>
      </c>
      <c r="E2208" s="37">
        <v>42429</v>
      </c>
      <c r="F2208" s="192" t="s">
        <v>1468</v>
      </c>
      <c r="G2208" s="456" t="s">
        <v>968</v>
      </c>
      <c r="H2208" s="7" t="s">
        <v>1581</v>
      </c>
      <c r="I2208" s="256">
        <v>2000</v>
      </c>
      <c r="J2208" s="256">
        <v>3253.7477504439876</v>
      </c>
      <c r="K2208" s="38">
        <f t="shared" si="119"/>
        <v>6507496</v>
      </c>
      <c r="L2208" s="566" t="s">
        <v>167</v>
      </c>
      <c r="M2208" s="566" t="s">
        <v>165</v>
      </c>
      <c r="N2208" s="52" t="str">
        <f>IF(AND('331-CT'!$E$7=TH!H2208,OR(L2208="331",M2208="331")),"331",IF(AND(OR(L2208="131",M2208="131"),H2208='131-CT'!$E$7),"131",""))</f>
        <v/>
      </c>
      <c r="O2208" s="857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0"/>
    </row>
    <row r="2209" spans="1:29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18"/>
        <v>3</v>
      </c>
      <c r="C2209" s="184">
        <f t="shared" si="120"/>
        <v>42430</v>
      </c>
      <c r="D2209" s="184" t="s">
        <v>1579</v>
      </c>
      <c r="E2209" s="37">
        <v>42430</v>
      </c>
      <c r="F2209" s="192" t="s">
        <v>969</v>
      </c>
      <c r="G2209" s="456" t="s">
        <v>479</v>
      </c>
      <c r="H2209" s="7" t="s">
        <v>1581</v>
      </c>
      <c r="I2209" s="256">
        <v>1600</v>
      </c>
      <c r="J2209" s="256">
        <v>11596.690700300365</v>
      </c>
      <c r="K2209" s="38">
        <f t="shared" si="119"/>
        <v>18554705</v>
      </c>
      <c r="L2209" s="566" t="s">
        <v>167</v>
      </c>
      <c r="M2209" s="566" t="s">
        <v>165</v>
      </c>
      <c r="N2209" s="52" t="str">
        <f>IF(AND('331-CT'!$E$7=TH!H2209,OR(L2209="331",M2209="331")),"331",IF(AND(OR(L2209="131",M2209="131"),H2209='131-CT'!$E$7),"131",""))</f>
        <v/>
      </c>
      <c r="O2209" s="857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0"/>
    </row>
    <row r="2210" spans="1:29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18"/>
        <v>3</v>
      </c>
      <c r="C2210" s="184">
        <f t="shared" si="120"/>
        <v>42430</v>
      </c>
      <c r="D2210" s="184" t="s">
        <v>1579</v>
      </c>
      <c r="E2210" s="37">
        <v>42430</v>
      </c>
      <c r="F2210" s="192" t="s">
        <v>933</v>
      </c>
      <c r="G2210" s="456" t="s">
        <v>479</v>
      </c>
      <c r="H2210" s="7" t="s">
        <v>1581</v>
      </c>
      <c r="I2210" s="256">
        <v>55</v>
      </c>
      <c r="J2210" s="256">
        <v>8926.9489563463248</v>
      </c>
      <c r="K2210" s="38">
        <f t="shared" si="119"/>
        <v>490982</v>
      </c>
      <c r="L2210" s="566" t="s">
        <v>167</v>
      </c>
      <c r="M2210" s="566" t="s">
        <v>165</v>
      </c>
      <c r="N2210" s="52" t="str">
        <f>IF(AND('331-CT'!$E$7=TH!H2210,OR(L2210="331",M2210="331")),"331",IF(AND(OR(L2210="131",M2210="131"),H2210='131-CT'!$E$7),"131",""))</f>
        <v/>
      </c>
      <c r="O2210" s="857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0"/>
    </row>
    <row r="2211" spans="1:29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18"/>
        <v>3</v>
      </c>
      <c r="C2211" s="184">
        <f t="shared" si="120"/>
        <v>42430</v>
      </c>
      <c r="D2211" s="184" t="s">
        <v>1579</v>
      </c>
      <c r="E2211" s="37">
        <v>42430</v>
      </c>
      <c r="F2211" s="192" t="s">
        <v>970</v>
      </c>
      <c r="G2211" s="456" t="s">
        <v>479</v>
      </c>
      <c r="H2211" s="7" t="s">
        <v>1581</v>
      </c>
      <c r="I2211" s="256">
        <v>55</v>
      </c>
      <c r="J2211" s="256">
        <v>7925.7958023635592</v>
      </c>
      <c r="K2211" s="38">
        <f t="shared" si="119"/>
        <v>435919</v>
      </c>
      <c r="L2211" s="566" t="s">
        <v>167</v>
      </c>
      <c r="M2211" s="566" t="s">
        <v>165</v>
      </c>
      <c r="N2211" s="52" t="str">
        <f>IF(AND('331-CT'!$E$7=TH!H2211,OR(L2211="331",M2211="331")),"331",IF(AND(OR(L2211="131",M2211="131"),H2211='131-CT'!$E$7),"131",""))</f>
        <v/>
      </c>
      <c r="O2211" s="857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0"/>
    </row>
    <row r="2212" spans="1:29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18"/>
        <v>3</v>
      </c>
      <c r="C2212" s="184">
        <f t="shared" si="120"/>
        <v>42430</v>
      </c>
      <c r="D2212" s="184" t="s">
        <v>1579</v>
      </c>
      <c r="E2212" s="37">
        <v>42430</v>
      </c>
      <c r="F2212" s="192" t="s">
        <v>971</v>
      </c>
      <c r="G2212" s="456" t="s">
        <v>479</v>
      </c>
      <c r="H2212" s="7" t="s">
        <v>1581</v>
      </c>
      <c r="I2212" s="256">
        <v>1993</v>
      </c>
      <c r="J2212" s="256">
        <v>8843.5195268477619</v>
      </c>
      <c r="K2212" s="38">
        <f t="shared" si="119"/>
        <v>17625134</v>
      </c>
      <c r="L2212" s="566" t="s">
        <v>167</v>
      </c>
      <c r="M2212" s="566" t="s">
        <v>165</v>
      </c>
      <c r="N2212" s="52" t="str">
        <f>IF(AND('331-CT'!$E$7=TH!H2212,OR(L2212="331",M2212="331")),"331",IF(AND(OR(L2212="131",M2212="131"),H2212='131-CT'!$E$7),"131",""))</f>
        <v/>
      </c>
      <c r="O2212" s="857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0"/>
    </row>
    <row r="2213" spans="1:29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18"/>
        <v>3</v>
      </c>
      <c r="C2213" s="184">
        <f t="shared" si="120"/>
        <v>42430</v>
      </c>
      <c r="D2213" s="184" t="s">
        <v>1579</v>
      </c>
      <c r="E2213" s="37">
        <v>42430</v>
      </c>
      <c r="F2213" s="192" t="s">
        <v>466</v>
      </c>
      <c r="G2213" s="456" t="s">
        <v>480</v>
      </c>
      <c r="H2213" s="7" t="s">
        <v>1581</v>
      </c>
      <c r="I2213" s="256">
        <v>273</v>
      </c>
      <c r="J2213" s="256">
        <v>5673.2012059023382</v>
      </c>
      <c r="K2213" s="38">
        <f t="shared" si="119"/>
        <v>1548784</v>
      </c>
      <c r="L2213" s="566" t="s">
        <v>167</v>
      </c>
      <c r="M2213" s="566" t="s">
        <v>165</v>
      </c>
      <c r="N2213" s="52" t="str">
        <f>IF(AND('331-CT'!$E$7=TH!H2213,OR(L2213="331",M2213="331")),"331",IF(AND(OR(L2213="131",M2213="131"),H2213='131-CT'!$E$7),"131",""))</f>
        <v/>
      </c>
      <c r="O2213" s="857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0"/>
    </row>
    <row r="2214" spans="1:29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18"/>
        <v>3</v>
      </c>
      <c r="C2214" s="184">
        <f t="shared" si="120"/>
        <v>42430</v>
      </c>
      <c r="D2214" s="184" t="s">
        <v>1579</v>
      </c>
      <c r="E2214" s="37">
        <v>42430</v>
      </c>
      <c r="F2214" s="192" t="s">
        <v>972</v>
      </c>
      <c r="G2214" s="456" t="s">
        <v>481</v>
      </c>
      <c r="H2214" s="7" t="s">
        <v>1581</v>
      </c>
      <c r="I2214" s="256">
        <v>78</v>
      </c>
      <c r="J2214" s="256">
        <v>7508.6486548707408</v>
      </c>
      <c r="K2214" s="38">
        <f t="shared" si="119"/>
        <v>585675</v>
      </c>
      <c r="L2214" s="566" t="s">
        <v>167</v>
      </c>
      <c r="M2214" s="566" t="s">
        <v>165</v>
      </c>
      <c r="N2214" s="52" t="str">
        <f>IF(AND('331-CT'!$E$7=TH!H2214,OR(L2214="331",M2214="331")),"331",IF(AND(OR(L2214="131",M2214="131"),H2214='131-CT'!$E$7),"131",""))</f>
        <v/>
      </c>
      <c r="O2214" s="857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0"/>
    </row>
    <row r="2215" spans="1:29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18"/>
        <v>3</v>
      </c>
      <c r="C2215" s="184">
        <f t="shared" si="120"/>
        <v>42430</v>
      </c>
      <c r="D2215" s="184" t="s">
        <v>1579</v>
      </c>
      <c r="E2215" s="37">
        <v>42430</v>
      </c>
      <c r="F2215" s="192" t="s">
        <v>973</v>
      </c>
      <c r="G2215" s="456" t="s">
        <v>481</v>
      </c>
      <c r="H2215" s="7" t="s">
        <v>1581</v>
      </c>
      <c r="I2215" s="256">
        <v>85</v>
      </c>
      <c r="J2215" s="256">
        <v>10595.537546317601</v>
      </c>
      <c r="K2215" s="38">
        <f t="shared" si="119"/>
        <v>900621</v>
      </c>
      <c r="L2215" s="566" t="s">
        <v>167</v>
      </c>
      <c r="M2215" s="566" t="s">
        <v>165</v>
      </c>
      <c r="N2215" s="52" t="str">
        <f>IF(AND('331-CT'!$E$7=TH!H2215,OR(L2215="331",M2215="331")),"331",IF(AND(OR(L2215="131",M2215="131"),H2215='131-CT'!$E$7),"131",""))</f>
        <v/>
      </c>
      <c r="O2215" s="857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0"/>
    </row>
    <row r="2216" spans="1:29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18"/>
        <v>3</v>
      </c>
      <c r="C2216" s="184">
        <f t="shared" si="120"/>
        <v>42430</v>
      </c>
      <c r="D2216" s="184" t="s">
        <v>1579</v>
      </c>
      <c r="E2216" s="37">
        <v>42430</v>
      </c>
      <c r="F2216" s="192" t="s">
        <v>974</v>
      </c>
      <c r="G2216" s="456" t="s">
        <v>481</v>
      </c>
      <c r="H2216" s="7" t="s">
        <v>1581</v>
      </c>
      <c r="I2216" s="256">
        <v>76</v>
      </c>
      <c r="J2216" s="256">
        <v>15351.015027735737</v>
      </c>
      <c r="K2216" s="38">
        <f t="shared" si="119"/>
        <v>1166677</v>
      </c>
      <c r="L2216" s="566" t="s">
        <v>167</v>
      </c>
      <c r="M2216" s="566" t="s">
        <v>165</v>
      </c>
      <c r="N2216" s="52" t="str">
        <f>IF(AND('331-CT'!$E$7=TH!H2216,OR(L2216="331",M2216="331")),"331",IF(AND(OR(L2216="131",M2216="131"),H2216='131-CT'!$E$7),"131",""))</f>
        <v/>
      </c>
      <c r="O2216" s="857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0"/>
    </row>
    <row r="2217" spans="1:29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18"/>
        <v>3</v>
      </c>
      <c r="C2217" s="184">
        <f t="shared" si="120"/>
        <v>42430</v>
      </c>
      <c r="D2217" s="184" t="s">
        <v>1579</v>
      </c>
      <c r="E2217" s="37">
        <v>42430</v>
      </c>
      <c r="F2217" s="192" t="s">
        <v>975</v>
      </c>
      <c r="G2217" s="456" t="s">
        <v>481</v>
      </c>
      <c r="H2217" s="7" t="s">
        <v>1581</v>
      </c>
      <c r="I2217" s="256">
        <v>91</v>
      </c>
      <c r="J2217" s="256">
        <v>22859.663682606479</v>
      </c>
      <c r="K2217" s="38">
        <f t="shared" si="119"/>
        <v>2080229</v>
      </c>
      <c r="L2217" s="566" t="s">
        <v>167</v>
      </c>
      <c r="M2217" s="566" t="s">
        <v>165</v>
      </c>
      <c r="N2217" s="52" t="str">
        <f>IF(AND('331-CT'!$E$7=TH!H2217,OR(L2217="331",M2217="331")),"331",IF(AND(OR(L2217="131",M2217="131"),H2217='131-CT'!$E$7),"131",""))</f>
        <v/>
      </c>
      <c r="O2217" s="857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0"/>
    </row>
    <row r="2218" spans="1:29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ref="B2218:B2281" si="121">IF(C2218&lt;&gt;"",MONTH(C2218),"")</f>
        <v>3</v>
      </c>
      <c r="C2218" s="184">
        <f t="shared" si="120"/>
        <v>42430</v>
      </c>
      <c r="D2218" s="184" t="s">
        <v>1579</v>
      </c>
      <c r="E2218" s="37">
        <v>42430</v>
      </c>
      <c r="F2218" s="192" t="s">
        <v>976</v>
      </c>
      <c r="G2218" s="456" t="s">
        <v>481</v>
      </c>
      <c r="H2218" s="7" t="s">
        <v>1581</v>
      </c>
      <c r="I2218" s="256">
        <v>473</v>
      </c>
      <c r="J2218" s="256">
        <v>4088.0420454296254</v>
      </c>
      <c r="K2218" s="38">
        <f t="shared" si="119"/>
        <v>1933644</v>
      </c>
      <c r="L2218" s="566" t="s">
        <v>167</v>
      </c>
      <c r="M2218" s="566" t="s">
        <v>165</v>
      </c>
      <c r="N2218" s="52" t="str">
        <f>IF(AND('331-CT'!$E$7=TH!H2218,OR(L2218="331",M2218="331")),"331",IF(AND(OR(L2218="131",M2218="131"),H2218='131-CT'!$E$7),"131",""))</f>
        <v/>
      </c>
      <c r="O2218" s="857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0"/>
    </row>
    <row r="2219" spans="1:29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21"/>
        <v>3</v>
      </c>
      <c r="C2219" s="184">
        <f t="shared" si="120"/>
        <v>42430</v>
      </c>
      <c r="D2219" s="184" t="s">
        <v>1579</v>
      </c>
      <c r="E2219" s="37">
        <v>42430</v>
      </c>
      <c r="F2219" s="192" t="s">
        <v>977</v>
      </c>
      <c r="G2219" s="456" t="s">
        <v>481</v>
      </c>
      <c r="H2219" s="7" t="s">
        <v>1581</v>
      </c>
      <c r="I2219" s="256">
        <v>470</v>
      </c>
      <c r="J2219" s="256">
        <v>6340.6366418908474</v>
      </c>
      <c r="K2219" s="38">
        <f t="shared" si="119"/>
        <v>2980099</v>
      </c>
      <c r="L2219" s="566" t="s">
        <v>167</v>
      </c>
      <c r="M2219" s="566" t="s">
        <v>165</v>
      </c>
      <c r="N2219" s="52" t="str">
        <f>IF(AND('331-CT'!$E$7=TH!H2219,OR(L2219="331",M2219="331")),"331",IF(AND(OR(L2219="131",M2219="131"),H2219='131-CT'!$E$7),"131",""))</f>
        <v/>
      </c>
      <c r="O2219" s="857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0"/>
    </row>
    <row r="2220" spans="1:29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21"/>
        <v>3</v>
      </c>
      <c r="C2220" s="184">
        <f t="shared" si="120"/>
        <v>42430</v>
      </c>
      <c r="D2220" s="184" t="s">
        <v>1579</v>
      </c>
      <c r="E2220" s="37">
        <v>42430</v>
      </c>
      <c r="F2220" s="192" t="s">
        <v>978</v>
      </c>
      <c r="G2220" s="456" t="s">
        <v>481</v>
      </c>
      <c r="H2220" s="7" t="s">
        <v>1581</v>
      </c>
      <c r="I2220" s="256">
        <v>475</v>
      </c>
      <c r="J2220" s="256">
        <v>11429.831841303239</v>
      </c>
      <c r="K2220" s="38">
        <f t="shared" si="119"/>
        <v>5429170</v>
      </c>
      <c r="L2220" s="566" t="s">
        <v>167</v>
      </c>
      <c r="M2220" s="566" t="s">
        <v>165</v>
      </c>
      <c r="N2220" s="52" t="str">
        <f>IF(AND('331-CT'!$E$7=TH!H2220,OR(L2220="331",M2220="331")),"331",IF(AND(OR(L2220="131",M2220="131"),H2220='131-CT'!$E$7),"131",""))</f>
        <v/>
      </c>
      <c r="O2220" s="857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0"/>
    </row>
    <row r="2221" spans="1:29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21"/>
        <v>3</v>
      </c>
      <c r="C2221" s="184">
        <f t="shared" si="120"/>
        <v>42434</v>
      </c>
      <c r="D2221" s="184" t="s">
        <v>1579</v>
      </c>
      <c r="E2221" s="37">
        <v>42434</v>
      </c>
      <c r="F2221" s="192" t="s">
        <v>971</v>
      </c>
      <c r="G2221" s="456" t="s">
        <v>482</v>
      </c>
      <c r="H2221" s="7" t="s">
        <v>1581</v>
      </c>
      <c r="I2221" s="256">
        <v>3383</v>
      </c>
      <c r="J2221" s="256">
        <v>8843.5195268477619</v>
      </c>
      <c r="K2221" s="38">
        <f t="shared" si="119"/>
        <v>29917627</v>
      </c>
      <c r="L2221" s="566" t="s">
        <v>167</v>
      </c>
      <c r="M2221" s="566" t="s">
        <v>165</v>
      </c>
      <c r="N2221" s="52" t="str">
        <f>IF(AND('331-CT'!$E$7=TH!H2221,OR(L2221="331",M2221="331")),"331",IF(AND(OR(L2221="131",M2221="131"),H2221='131-CT'!$E$7),"131",""))</f>
        <v/>
      </c>
      <c r="O2221" s="857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0"/>
    </row>
    <row r="2222" spans="1:29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21"/>
        <v>3</v>
      </c>
      <c r="C2222" s="184">
        <f t="shared" si="120"/>
        <v>42434</v>
      </c>
      <c r="D2222" s="184" t="s">
        <v>1579</v>
      </c>
      <c r="E2222" s="37">
        <v>42434</v>
      </c>
      <c r="F2222" s="192" t="s">
        <v>1474</v>
      </c>
      <c r="G2222" s="456" t="s">
        <v>483</v>
      </c>
      <c r="H2222" s="7" t="s">
        <v>1581</v>
      </c>
      <c r="I2222" s="256">
        <v>527</v>
      </c>
      <c r="J2222" s="256">
        <v>7925.7958023635592</v>
      </c>
      <c r="K2222" s="38">
        <f t="shared" si="119"/>
        <v>4176894</v>
      </c>
      <c r="L2222" s="566" t="s">
        <v>167</v>
      </c>
      <c r="M2222" s="566" t="s">
        <v>165</v>
      </c>
      <c r="N2222" s="52" t="str">
        <f>IF(AND('331-CT'!$E$7=TH!H2222,OR(L2222="331",M2222="331")),"331",IF(AND(OR(L2222="131",M2222="131"),H2222='131-CT'!$E$7),"131",""))</f>
        <v/>
      </c>
      <c r="O2222" s="857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0"/>
    </row>
    <row r="2223" spans="1:29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21"/>
        <v>3</v>
      </c>
      <c r="C2223" s="184">
        <f t="shared" si="120"/>
        <v>42436</v>
      </c>
      <c r="D2223" s="184" t="s">
        <v>1579</v>
      </c>
      <c r="E2223" s="191">
        <v>42436</v>
      </c>
      <c r="F2223" s="189" t="s">
        <v>1470</v>
      </c>
      <c r="G2223" s="456" t="s">
        <v>485</v>
      </c>
      <c r="H2223" s="7" t="s">
        <v>1581</v>
      </c>
      <c r="I2223" s="256">
        <v>500</v>
      </c>
      <c r="J2223" s="256">
        <v>6924.6426483807936</v>
      </c>
      <c r="K2223" s="38">
        <f t="shared" si="119"/>
        <v>3462321</v>
      </c>
      <c r="L2223" s="566" t="s">
        <v>167</v>
      </c>
      <c r="M2223" s="566" t="s">
        <v>165</v>
      </c>
      <c r="N2223" s="52" t="str">
        <f>IF(AND('331-CT'!$E$7=TH!H2223,OR(L2223="331",M2223="331")),"331",IF(AND(OR(L2223="131",M2223="131"),H2223='131-CT'!$E$7),"131",""))</f>
        <v/>
      </c>
      <c r="O2223" s="857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0"/>
    </row>
    <row r="2224" spans="1:29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21"/>
        <v>3</v>
      </c>
      <c r="C2224" s="184">
        <f t="shared" si="120"/>
        <v>42436</v>
      </c>
      <c r="D2224" s="184" t="s">
        <v>1579</v>
      </c>
      <c r="E2224" s="191">
        <v>42436</v>
      </c>
      <c r="F2224" s="189" t="s">
        <v>1471</v>
      </c>
      <c r="G2224" s="456" t="s">
        <v>483</v>
      </c>
      <c r="H2224" s="7" t="s">
        <v>1581</v>
      </c>
      <c r="I2224" s="256">
        <v>500</v>
      </c>
      <c r="J2224" s="256">
        <v>6924.6426483807936</v>
      </c>
      <c r="K2224" s="38">
        <f t="shared" si="119"/>
        <v>3462321</v>
      </c>
      <c r="L2224" s="566" t="s">
        <v>167</v>
      </c>
      <c r="M2224" s="566" t="s">
        <v>165</v>
      </c>
      <c r="N2224" s="52" t="str">
        <f>IF(AND('331-CT'!$E$7=TH!H2224,OR(L2224="331",M2224="331")),"331",IF(AND(OR(L2224="131",M2224="131"),H2224='131-CT'!$E$7),"131",""))</f>
        <v/>
      </c>
      <c r="O2224" s="857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0"/>
      <c r="AC2224" s="557"/>
    </row>
    <row r="2225" spans="1:29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21"/>
        <v>3</v>
      </c>
      <c r="C2225" s="184">
        <f t="shared" si="120"/>
        <v>42437</v>
      </c>
      <c r="D2225" s="184" t="s">
        <v>1579</v>
      </c>
      <c r="E2225" s="191">
        <v>42437</v>
      </c>
      <c r="F2225" s="189" t="s">
        <v>670</v>
      </c>
      <c r="G2225" s="456" t="s">
        <v>487</v>
      </c>
      <c r="H2225" s="7" t="s">
        <v>1581</v>
      </c>
      <c r="I2225" s="256">
        <v>511</v>
      </c>
      <c r="J2225" s="256">
        <v>13932.714726260152</v>
      </c>
      <c r="K2225" s="38">
        <f t="shared" si="119"/>
        <v>7119617</v>
      </c>
      <c r="L2225" s="566" t="s">
        <v>167</v>
      </c>
      <c r="M2225" s="566" t="s">
        <v>165</v>
      </c>
      <c r="N2225" s="52" t="str">
        <f>IF(AND('331-CT'!$E$7=TH!H2225,OR(L2225="331",M2225="331")),"331",IF(AND(OR(L2225="131",M2225="131"),H2225='131-CT'!$E$7),"131",""))</f>
        <v/>
      </c>
      <c r="O2225" s="857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0"/>
    </row>
    <row r="2226" spans="1:29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21"/>
        <v>3</v>
      </c>
      <c r="C2226" s="184">
        <f t="shared" si="120"/>
        <v>42437</v>
      </c>
      <c r="D2226" s="184" t="s">
        <v>1579</v>
      </c>
      <c r="E2226" s="191">
        <v>42437</v>
      </c>
      <c r="F2226" s="189" t="s">
        <v>894</v>
      </c>
      <c r="G2226" s="456" t="s">
        <v>488</v>
      </c>
      <c r="H2226" s="7" t="s">
        <v>1581</v>
      </c>
      <c r="I2226" s="256">
        <v>500</v>
      </c>
      <c r="J2226" s="256">
        <v>7425.2192253721769</v>
      </c>
      <c r="K2226" s="38">
        <f t="shared" si="119"/>
        <v>3712610</v>
      </c>
      <c r="L2226" s="566" t="s">
        <v>167</v>
      </c>
      <c r="M2226" s="566" t="s">
        <v>165</v>
      </c>
      <c r="N2226" s="52" t="str">
        <f>IF(AND('331-CT'!$E$7=TH!H2226,OR(L2226="331",M2226="331")),"331",IF(AND(OR(L2226="131",M2226="131"),H2226='131-CT'!$E$7),"131",""))</f>
        <v/>
      </c>
      <c r="O2226" s="857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0"/>
    </row>
    <row r="2227" spans="1:29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21"/>
        <v>3</v>
      </c>
      <c r="C2227" s="184">
        <f t="shared" si="120"/>
        <v>42439</v>
      </c>
      <c r="D2227" s="184" t="s">
        <v>1579</v>
      </c>
      <c r="E2227" s="191">
        <v>42439</v>
      </c>
      <c r="F2227" s="189" t="s">
        <v>979</v>
      </c>
      <c r="G2227" s="456" t="s">
        <v>489</v>
      </c>
      <c r="H2227" s="7" t="s">
        <v>1581</v>
      </c>
      <c r="I2227" s="256">
        <v>214</v>
      </c>
      <c r="J2227" s="256">
        <v>5840.060064899465</v>
      </c>
      <c r="K2227" s="38">
        <f t="shared" si="119"/>
        <v>1249773</v>
      </c>
      <c r="L2227" s="566" t="s">
        <v>167</v>
      </c>
      <c r="M2227" s="566" t="s">
        <v>165</v>
      </c>
      <c r="N2227" s="52" t="str">
        <f>IF(AND('331-CT'!$E$7=TH!H2227,OR(L2227="331",M2227="331")),"331",IF(AND(OR(L2227="131",M2227="131"),H2227='131-CT'!$E$7),"131",""))</f>
        <v/>
      </c>
      <c r="O2227" s="857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0"/>
    </row>
    <row r="2228" spans="1:29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21"/>
        <v>3</v>
      </c>
      <c r="C2228" s="184">
        <f t="shared" si="120"/>
        <v>42439</v>
      </c>
      <c r="D2228" s="184" t="s">
        <v>1579</v>
      </c>
      <c r="E2228" s="191">
        <v>42439</v>
      </c>
      <c r="F2228" s="189" t="s">
        <v>440</v>
      </c>
      <c r="G2228" s="456" t="s">
        <v>489</v>
      </c>
      <c r="H2228" s="7" t="s">
        <v>1581</v>
      </c>
      <c r="I2228" s="256">
        <v>390</v>
      </c>
      <c r="J2228" s="256">
        <v>5339.4834879080827</v>
      </c>
      <c r="K2228" s="38">
        <f t="shared" si="119"/>
        <v>2082399</v>
      </c>
      <c r="L2228" s="566" t="s">
        <v>167</v>
      </c>
      <c r="M2228" s="566" t="s">
        <v>165</v>
      </c>
      <c r="N2228" s="52" t="str">
        <f>IF(AND('331-CT'!$E$7=TH!H2228,OR(L2228="331",M2228="331")),"331",IF(AND(OR(L2228="131",M2228="131"),H2228='131-CT'!$E$7),"131",""))</f>
        <v/>
      </c>
      <c r="O2228" s="857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0"/>
    </row>
    <row r="2229" spans="1:29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21"/>
        <v>3</v>
      </c>
      <c r="C2229" s="184">
        <f t="shared" si="120"/>
        <v>42440</v>
      </c>
      <c r="D2229" s="184" t="s">
        <v>1579</v>
      </c>
      <c r="E2229" s="191">
        <v>42440</v>
      </c>
      <c r="F2229" s="189" t="s">
        <v>980</v>
      </c>
      <c r="G2229" s="456" t="s">
        <v>490</v>
      </c>
      <c r="H2229" s="7" t="s">
        <v>1581</v>
      </c>
      <c r="I2229" s="256">
        <v>744</v>
      </c>
      <c r="J2229" s="256">
        <v>3504.0360389396787</v>
      </c>
      <c r="K2229" s="38">
        <f t="shared" si="119"/>
        <v>2607003</v>
      </c>
      <c r="L2229" s="566" t="s">
        <v>167</v>
      </c>
      <c r="M2229" s="566" t="s">
        <v>165</v>
      </c>
      <c r="N2229" s="52" t="str">
        <f>IF(AND('331-CT'!$E$7=TH!H2229,OR(L2229="331",M2229="331")),"331",IF(AND(OR(L2229="131",M2229="131"),H2229='131-CT'!$E$7),"131",""))</f>
        <v/>
      </c>
      <c r="O2229" s="857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0"/>
      <c r="AC2229" s="557"/>
    </row>
    <row r="2230" spans="1:29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21"/>
        <v>3</v>
      </c>
      <c r="C2230" s="184">
        <f t="shared" si="120"/>
        <v>42440</v>
      </c>
      <c r="D2230" s="184" t="s">
        <v>1579</v>
      </c>
      <c r="E2230" s="191">
        <v>42440</v>
      </c>
      <c r="F2230" s="189" t="s">
        <v>1232</v>
      </c>
      <c r="G2230" s="456" t="s">
        <v>491</v>
      </c>
      <c r="H2230" s="7" t="s">
        <v>1581</v>
      </c>
      <c r="I2230" s="256">
        <v>210</v>
      </c>
      <c r="J2230" s="256">
        <v>917.72372448420163</v>
      </c>
      <c r="K2230" s="38">
        <f t="shared" si="119"/>
        <v>192722</v>
      </c>
      <c r="L2230" s="566" t="s">
        <v>167</v>
      </c>
      <c r="M2230" s="566" t="s">
        <v>165</v>
      </c>
      <c r="N2230" s="52" t="str">
        <f>IF(AND('331-CT'!$E$7=TH!H2230,OR(L2230="331",M2230="331")),"331",IF(AND(OR(L2230="131",M2230="131"),H2230='131-CT'!$E$7),"131",""))</f>
        <v/>
      </c>
      <c r="O2230" s="857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0"/>
    </row>
    <row r="2231" spans="1:29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21"/>
        <v>3</v>
      </c>
      <c r="C2231" s="184">
        <f t="shared" si="120"/>
        <v>42441</v>
      </c>
      <c r="D2231" s="184" t="s">
        <v>1579</v>
      </c>
      <c r="E2231" s="191">
        <v>42441</v>
      </c>
      <c r="F2231" s="189" t="s">
        <v>688</v>
      </c>
      <c r="G2231" s="456" t="s">
        <v>492</v>
      </c>
      <c r="H2231" s="7" t="s">
        <v>1581</v>
      </c>
      <c r="I2231" s="256">
        <v>843</v>
      </c>
      <c r="J2231" s="256">
        <v>6424.0660713894113</v>
      </c>
      <c r="K2231" s="38">
        <f t="shared" si="119"/>
        <v>5415488</v>
      </c>
      <c r="L2231" s="566" t="s">
        <v>167</v>
      </c>
      <c r="M2231" s="566" t="s">
        <v>165</v>
      </c>
      <c r="N2231" s="52" t="str">
        <f>IF(AND('331-CT'!$E$7=TH!H2231,OR(L2231="331",M2231="331")),"331",IF(AND(OR(L2231="131",M2231="131"),H2231='131-CT'!$E$7),"131",""))</f>
        <v/>
      </c>
      <c r="O2231" s="857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0"/>
    </row>
    <row r="2232" spans="1:29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21"/>
        <v>3</v>
      </c>
      <c r="C2232" s="184">
        <f t="shared" si="120"/>
        <v>42441</v>
      </c>
      <c r="D2232" s="184" t="s">
        <v>1579</v>
      </c>
      <c r="E2232" s="191">
        <v>42441</v>
      </c>
      <c r="F2232" s="189" t="s">
        <v>689</v>
      </c>
      <c r="G2232" s="456" t="s">
        <v>492</v>
      </c>
      <c r="H2232" s="7" t="s">
        <v>1581</v>
      </c>
      <c r="I2232" s="256">
        <v>204</v>
      </c>
      <c r="J2232" s="256">
        <v>12013.837847793186</v>
      </c>
      <c r="K2232" s="38">
        <f t="shared" si="119"/>
        <v>2450823</v>
      </c>
      <c r="L2232" s="566" t="s">
        <v>167</v>
      </c>
      <c r="M2232" s="566" t="s">
        <v>165</v>
      </c>
      <c r="N2232" s="52" t="str">
        <f>IF(AND('331-CT'!$E$7=TH!H2232,OR(L2232="331",M2232="331")),"331",IF(AND(OR(L2232="131",M2232="131"),H2232='131-CT'!$E$7),"131",""))</f>
        <v/>
      </c>
      <c r="O2232" s="857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0"/>
      <c r="AC2232" s="557"/>
    </row>
    <row r="2233" spans="1:29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21"/>
        <v>3</v>
      </c>
      <c r="C2233" s="184">
        <f t="shared" si="120"/>
        <v>42441</v>
      </c>
      <c r="D2233" s="184" t="s">
        <v>1579</v>
      </c>
      <c r="E2233" s="191">
        <v>42441</v>
      </c>
      <c r="F2233" s="189" t="s">
        <v>444</v>
      </c>
      <c r="G2233" s="456" t="s">
        <v>493</v>
      </c>
      <c r="H2233" s="7" t="s">
        <v>1581</v>
      </c>
      <c r="I2233" s="256">
        <v>610</v>
      </c>
      <c r="J2233" s="256">
        <v>7592.0780843693046</v>
      </c>
      <c r="K2233" s="38">
        <f t="shared" si="119"/>
        <v>4631168</v>
      </c>
      <c r="L2233" s="566" t="s">
        <v>167</v>
      </c>
      <c r="M2233" s="566" t="s">
        <v>165</v>
      </c>
      <c r="N2233" s="52" t="str">
        <f>IF(AND('331-CT'!$E$7=TH!H2233,OR(L2233="331",M2233="331")),"331",IF(AND(OR(L2233="131",M2233="131"),H2233='131-CT'!$E$7),"131",""))</f>
        <v/>
      </c>
      <c r="O2233" s="857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0"/>
    </row>
    <row r="2234" spans="1:29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21"/>
        <v>3</v>
      </c>
      <c r="C2234" s="184">
        <f t="shared" si="120"/>
        <v>42441</v>
      </c>
      <c r="D2234" s="184" t="s">
        <v>1579</v>
      </c>
      <c r="E2234" s="191">
        <v>42441</v>
      </c>
      <c r="F2234" s="189" t="s">
        <v>515</v>
      </c>
      <c r="G2234" s="456" t="s">
        <v>493</v>
      </c>
      <c r="H2234" s="7" t="s">
        <v>1581</v>
      </c>
      <c r="I2234" s="256">
        <v>309</v>
      </c>
      <c r="J2234" s="256">
        <v>6173.7777828937205</v>
      </c>
      <c r="K2234" s="38">
        <f t="shared" si="119"/>
        <v>1907697</v>
      </c>
      <c r="L2234" s="566" t="s">
        <v>167</v>
      </c>
      <c r="M2234" s="566" t="s">
        <v>165</v>
      </c>
      <c r="N2234" s="52" t="str">
        <f>IF(AND('331-CT'!$E$7=TH!H2234,OR(L2234="331",M2234="331")),"331",IF(AND(OR(L2234="131",M2234="131"),H2234='131-CT'!$E$7),"131",""))</f>
        <v/>
      </c>
      <c r="O2234" s="857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0"/>
    </row>
    <row r="2235" spans="1:29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21"/>
        <v>3</v>
      </c>
      <c r="C2235" s="184">
        <f t="shared" si="120"/>
        <v>42441</v>
      </c>
      <c r="D2235" s="184" t="s">
        <v>1579</v>
      </c>
      <c r="E2235" s="191">
        <v>42441</v>
      </c>
      <c r="F2235" s="189" t="s">
        <v>982</v>
      </c>
      <c r="G2235" s="456" t="s">
        <v>494</v>
      </c>
      <c r="H2235" s="7" t="s">
        <v>1581</v>
      </c>
      <c r="I2235" s="256">
        <v>201</v>
      </c>
      <c r="J2235" s="256">
        <v>4922.3363404152633</v>
      </c>
      <c r="K2235" s="38">
        <f t="shared" si="119"/>
        <v>989390</v>
      </c>
      <c r="L2235" s="566" t="s">
        <v>167</v>
      </c>
      <c r="M2235" s="566" t="s">
        <v>165</v>
      </c>
      <c r="N2235" s="52" t="str">
        <f>IF(AND('331-CT'!$E$7=TH!H2235,OR(L2235="331",M2235="331")),"331",IF(AND(OR(L2235="131",M2235="131"),H2235='131-CT'!$E$7),"131",""))</f>
        <v/>
      </c>
      <c r="O2235" s="857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0"/>
    </row>
    <row r="2236" spans="1:29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21"/>
        <v>3</v>
      </c>
      <c r="C2236" s="184">
        <f t="shared" si="120"/>
        <v>42441</v>
      </c>
      <c r="D2236" s="184" t="s">
        <v>1579</v>
      </c>
      <c r="E2236" s="191">
        <v>42441</v>
      </c>
      <c r="F2236" s="189" t="s">
        <v>983</v>
      </c>
      <c r="G2236" s="456" t="s">
        <v>495</v>
      </c>
      <c r="H2236" s="7" t="s">
        <v>1581</v>
      </c>
      <c r="I2236" s="256">
        <v>50</v>
      </c>
      <c r="J2236" s="256">
        <v>14266.432444254408</v>
      </c>
      <c r="K2236" s="38">
        <f t="shared" si="119"/>
        <v>713322</v>
      </c>
      <c r="L2236" s="566" t="s">
        <v>167</v>
      </c>
      <c r="M2236" s="566" t="s">
        <v>165</v>
      </c>
      <c r="N2236" s="52" t="str">
        <f>IF(AND('331-CT'!$E$7=TH!H2236,OR(L2236="331",M2236="331")),"331",IF(AND(OR(L2236="131",M2236="131"),H2236='131-CT'!$E$7),"131",""))</f>
        <v/>
      </c>
      <c r="O2236" s="857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0"/>
      <c r="AC2236" s="557"/>
    </row>
    <row r="2237" spans="1:29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21"/>
        <v>3</v>
      </c>
      <c r="C2237" s="184">
        <f t="shared" si="120"/>
        <v>42441</v>
      </c>
      <c r="D2237" s="184" t="s">
        <v>1579</v>
      </c>
      <c r="E2237" s="191">
        <v>42441</v>
      </c>
      <c r="F2237" s="189" t="s">
        <v>984</v>
      </c>
      <c r="G2237" s="456" t="s">
        <v>495</v>
      </c>
      <c r="H2237" s="7" t="s">
        <v>1581</v>
      </c>
      <c r="I2237" s="256">
        <v>400</v>
      </c>
      <c r="J2237" s="256">
        <v>11429.831841303239</v>
      </c>
      <c r="K2237" s="38">
        <f t="shared" si="119"/>
        <v>4571933</v>
      </c>
      <c r="L2237" s="566" t="s">
        <v>167</v>
      </c>
      <c r="M2237" s="566" t="s">
        <v>165</v>
      </c>
      <c r="N2237" s="52" t="str">
        <f>IF(AND('331-CT'!$E$7=TH!H2237,OR(L2237="331",M2237="331")),"331",IF(AND(OR(L2237="131",M2237="131"),H2237='131-CT'!$E$7),"131",""))</f>
        <v/>
      </c>
      <c r="O2237" s="857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0"/>
    </row>
    <row r="2238" spans="1:29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21"/>
        <v>3</v>
      </c>
      <c r="C2238" s="184">
        <f t="shared" si="120"/>
        <v>42445</v>
      </c>
      <c r="D2238" s="184" t="s">
        <v>1579</v>
      </c>
      <c r="E2238" s="191">
        <v>42445</v>
      </c>
      <c r="F2238" s="189" t="s">
        <v>448</v>
      </c>
      <c r="G2238" s="456" t="s">
        <v>496</v>
      </c>
      <c r="H2238" s="7" t="s">
        <v>1581</v>
      </c>
      <c r="I2238" s="256">
        <v>93</v>
      </c>
      <c r="J2238" s="256">
        <v>60486.336386458745</v>
      </c>
      <c r="K2238" s="38">
        <f t="shared" si="119"/>
        <v>5625229</v>
      </c>
      <c r="L2238" s="566" t="s">
        <v>167</v>
      </c>
      <c r="M2238" s="566" t="s">
        <v>165</v>
      </c>
      <c r="N2238" s="52" t="str">
        <f>IF(AND('331-CT'!$E$7=TH!H2238,OR(L2238="331",M2238="331")),"331",IF(AND(OR(L2238="131",M2238="131"),H2238='131-CT'!$E$7),"131",""))</f>
        <v/>
      </c>
      <c r="O2238" s="857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0"/>
    </row>
    <row r="2239" spans="1:29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21"/>
        <v>3</v>
      </c>
      <c r="C2239" s="184">
        <f t="shared" si="120"/>
        <v>42448</v>
      </c>
      <c r="D2239" s="184" t="s">
        <v>1579</v>
      </c>
      <c r="E2239" s="191">
        <v>42448</v>
      </c>
      <c r="F2239" s="189" t="s">
        <v>471</v>
      </c>
      <c r="G2239" s="456" t="s">
        <v>497</v>
      </c>
      <c r="H2239" s="7" t="s">
        <v>1581</v>
      </c>
      <c r="I2239" s="256">
        <v>604</v>
      </c>
      <c r="J2239" s="256">
        <v>13181.849860773078</v>
      </c>
      <c r="K2239" s="38">
        <f t="shared" si="119"/>
        <v>7961837</v>
      </c>
      <c r="L2239" s="566" t="s">
        <v>167</v>
      </c>
      <c r="M2239" s="566" t="s">
        <v>165</v>
      </c>
      <c r="N2239" s="52" t="str">
        <f>IF(AND('331-CT'!$E$7=TH!H2239,OR(L2239="331",M2239="331")),"331",IF(AND(OR(L2239="131",M2239="131"),H2239='131-CT'!$E$7),"131",""))</f>
        <v/>
      </c>
      <c r="O2239" s="857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0"/>
    </row>
    <row r="2240" spans="1:29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21"/>
        <v>3</v>
      </c>
      <c r="C2240" s="184">
        <f t="shared" si="120"/>
        <v>42448</v>
      </c>
      <c r="D2240" s="184" t="s">
        <v>1579</v>
      </c>
      <c r="E2240" s="191">
        <v>42448</v>
      </c>
      <c r="F2240" s="189" t="s">
        <v>419</v>
      </c>
      <c r="G2240" s="456" t="s">
        <v>497</v>
      </c>
      <c r="H2240" s="7" t="s">
        <v>1581</v>
      </c>
      <c r="I2240" s="256">
        <v>1255</v>
      </c>
      <c r="J2240" s="256">
        <v>6841.2132188822297</v>
      </c>
      <c r="K2240" s="38">
        <f t="shared" si="119"/>
        <v>8585723</v>
      </c>
      <c r="L2240" s="566" t="s">
        <v>167</v>
      </c>
      <c r="M2240" s="566" t="s">
        <v>165</v>
      </c>
      <c r="N2240" s="52" t="str">
        <f>IF(AND('331-CT'!$E$7=TH!H2240,OR(L2240="331",M2240="331")),"331",IF(AND(OR(L2240="131",M2240="131"),H2240='131-CT'!$E$7),"131",""))</f>
        <v/>
      </c>
      <c r="O2240" s="857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0"/>
    </row>
    <row r="2241" spans="1:29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21"/>
        <v>3</v>
      </c>
      <c r="C2241" s="184">
        <f t="shared" si="120"/>
        <v>42448</v>
      </c>
      <c r="D2241" s="184" t="s">
        <v>1579</v>
      </c>
      <c r="E2241" s="191">
        <v>42448</v>
      </c>
      <c r="F2241" s="189" t="s">
        <v>985</v>
      </c>
      <c r="G2241" s="456" t="s">
        <v>498</v>
      </c>
      <c r="H2241" s="7" t="s">
        <v>1581</v>
      </c>
      <c r="I2241" s="256">
        <v>209</v>
      </c>
      <c r="J2241" s="256">
        <v>5840.060064899465</v>
      </c>
      <c r="K2241" s="38">
        <f t="shared" si="119"/>
        <v>1220573</v>
      </c>
      <c r="L2241" s="566" t="s">
        <v>167</v>
      </c>
      <c r="M2241" s="566" t="s">
        <v>165</v>
      </c>
      <c r="N2241" s="52" t="str">
        <f>IF(AND('331-CT'!$E$7=TH!H2241,OR(L2241="331",M2241="331")),"331",IF(AND(OR(L2241="131",M2241="131"),H2241='131-CT'!$E$7),"131",""))</f>
        <v/>
      </c>
      <c r="O2241" s="857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0"/>
    </row>
    <row r="2242" spans="1:29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21"/>
        <v>3</v>
      </c>
      <c r="C2242" s="184">
        <f t="shared" si="120"/>
        <v>42448</v>
      </c>
      <c r="D2242" s="184" t="s">
        <v>1579</v>
      </c>
      <c r="E2242" s="191">
        <v>42448</v>
      </c>
      <c r="F2242" s="189" t="s">
        <v>657</v>
      </c>
      <c r="G2242" s="456" t="s">
        <v>498</v>
      </c>
      <c r="H2242" s="7" t="s">
        <v>1581</v>
      </c>
      <c r="I2242" s="256">
        <v>500</v>
      </c>
      <c r="J2242" s="256">
        <v>6257.2072123922844</v>
      </c>
      <c r="K2242" s="38">
        <f t="shared" si="119"/>
        <v>3128604</v>
      </c>
      <c r="L2242" s="566" t="s">
        <v>167</v>
      </c>
      <c r="M2242" s="566" t="s">
        <v>165</v>
      </c>
      <c r="N2242" s="52" t="str">
        <f>IF(AND('331-CT'!$E$7=TH!H2242,OR(L2242="331",M2242="331")),"331",IF(AND(OR(L2242="131",M2242="131"),H2242='131-CT'!$E$7),"131",""))</f>
        <v/>
      </c>
      <c r="O2242" s="857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0"/>
      <c r="AC2242" s="557"/>
    </row>
    <row r="2243" spans="1:29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21"/>
        <v>3</v>
      </c>
      <c r="C2243" s="184">
        <f t="shared" si="120"/>
        <v>42450</v>
      </c>
      <c r="D2243" s="184" t="s">
        <v>1579</v>
      </c>
      <c r="E2243" s="191">
        <v>42450</v>
      </c>
      <c r="F2243" s="189" t="s">
        <v>986</v>
      </c>
      <c r="G2243" s="456" t="s">
        <v>499</v>
      </c>
      <c r="H2243" s="7" t="s">
        <v>1581</v>
      </c>
      <c r="I2243" s="256">
        <v>108</v>
      </c>
      <c r="J2243" s="256">
        <v>18688.19220767829</v>
      </c>
      <c r="K2243" s="38">
        <f t="shared" si="119"/>
        <v>2018325</v>
      </c>
      <c r="L2243" s="566" t="s">
        <v>167</v>
      </c>
      <c r="M2243" s="566" t="s">
        <v>165</v>
      </c>
      <c r="N2243" s="52" t="str">
        <f>IF(AND('331-CT'!$E$7=TH!H2243,OR(L2243="331",M2243="331")),"331",IF(AND(OR(L2243="131",M2243="131"),H2243='131-CT'!$E$7),"131",""))</f>
        <v/>
      </c>
      <c r="O2243" s="857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0"/>
    </row>
    <row r="2244" spans="1:29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21"/>
        <v>3</v>
      </c>
      <c r="C2244" s="184">
        <f t="shared" si="120"/>
        <v>42450</v>
      </c>
      <c r="D2244" s="184" t="s">
        <v>1579</v>
      </c>
      <c r="E2244" s="191">
        <v>42450</v>
      </c>
      <c r="F2244" s="189" t="s">
        <v>670</v>
      </c>
      <c r="G2244" s="456" t="s">
        <v>500</v>
      </c>
      <c r="H2244" s="7" t="s">
        <v>1581</v>
      </c>
      <c r="I2244" s="256">
        <v>500</v>
      </c>
      <c r="J2244" s="256">
        <v>13932.714726260152</v>
      </c>
      <c r="K2244" s="38">
        <f t="shared" si="119"/>
        <v>6966357</v>
      </c>
      <c r="L2244" s="566" t="s">
        <v>167</v>
      </c>
      <c r="M2244" s="566" t="s">
        <v>165</v>
      </c>
      <c r="N2244" s="52" t="str">
        <f>IF(AND('331-CT'!$E$7=TH!H2244,OR(L2244="331",M2244="331")),"331",IF(AND(OR(L2244="131",M2244="131"),H2244='131-CT'!$E$7),"131",""))</f>
        <v/>
      </c>
      <c r="O2244" s="857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0"/>
    </row>
    <row r="2245" spans="1:29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21"/>
        <v>3</v>
      </c>
      <c r="C2245" s="184">
        <f t="shared" si="120"/>
        <v>42450</v>
      </c>
      <c r="D2245" s="184" t="s">
        <v>1579</v>
      </c>
      <c r="E2245" s="191">
        <v>42450</v>
      </c>
      <c r="F2245" s="189" t="s">
        <v>445</v>
      </c>
      <c r="G2245" s="456" t="s">
        <v>501</v>
      </c>
      <c r="H2245" s="7" t="s">
        <v>1581</v>
      </c>
      <c r="I2245" s="256">
        <v>301</v>
      </c>
      <c r="J2245" s="256">
        <v>11179.543552807549</v>
      </c>
      <c r="K2245" s="38">
        <f t="shared" si="119"/>
        <v>3365043</v>
      </c>
      <c r="L2245" s="566" t="s">
        <v>167</v>
      </c>
      <c r="M2245" s="566" t="s">
        <v>165</v>
      </c>
      <c r="N2245" s="52" t="str">
        <f>IF(AND('331-CT'!$E$7=TH!H2245,OR(L2245="331",M2245="331")),"331",IF(AND(OR(L2245="131",M2245="131"),H2245='131-CT'!$E$7),"131",""))</f>
        <v/>
      </c>
      <c r="O2245" s="857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0"/>
    </row>
    <row r="2246" spans="1:29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21"/>
        <v>3</v>
      </c>
      <c r="C2246" s="184">
        <f t="shared" si="120"/>
        <v>42451</v>
      </c>
      <c r="D2246" s="184" t="s">
        <v>1579</v>
      </c>
      <c r="E2246" s="191">
        <v>42451</v>
      </c>
      <c r="F2246" s="189" t="s">
        <v>987</v>
      </c>
      <c r="G2246" s="456" t="s">
        <v>502</v>
      </c>
      <c r="H2246" s="7" t="s">
        <v>1581</v>
      </c>
      <c r="I2246" s="256">
        <v>544</v>
      </c>
      <c r="J2246" s="256">
        <v>7592.0780843693046</v>
      </c>
      <c r="K2246" s="38">
        <f t="shared" si="119"/>
        <v>4130090</v>
      </c>
      <c r="L2246" s="566" t="s">
        <v>167</v>
      </c>
      <c r="M2246" s="566" t="s">
        <v>165</v>
      </c>
      <c r="N2246" s="52" t="str">
        <f>IF(AND('331-CT'!$E$7=TH!H2246,OR(L2246="331",M2246="331")),"331",IF(AND(OR(L2246="131",M2246="131"),H2246='131-CT'!$E$7),"131",""))</f>
        <v/>
      </c>
      <c r="O2246" s="857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0"/>
    </row>
    <row r="2247" spans="1:29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21"/>
        <v>3</v>
      </c>
      <c r="C2247" s="184">
        <f t="shared" si="120"/>
        <v>42452</v>
      </c>
      <c r="D2247" s="184" t="s">
        <v>1579</v>
      </c>
      <c r="E2247" s="191">
        <v>42452</v>
      </c>
      <c r="F2247" s="189" t="s">
        <v>419</v>
      </c>
      <c r="G2247" s="456" t="s">
        <v>505</v>
      </c>
      <c r="H2247" s="7" t="s">
        <v>1581</v>
      </c>
      <c r="I2247" s="256">
        <v>1310</v>
      </c>
      <c r="J2247" s="256">
        <v>6841.2132188822297</v>
      </c>
      <c r="K2247" s="38">
        <f t="shared" si="119"/>
        <v>8961989</v>
      </c>
      <c r="L2247" s="566" t="s">
        <v>167</v>
      </c>
      <c r="M2247" s="566" t="s">
        <v>165</v>
      </c>
      <c r="N2247" s="52" t="str">
        <f>IF(AND('331-CT'!$E$7=TH!H2247,OR(L2247="331",M2247="331")),"331",IF(AND(OR(L2247="131",M2247="131"),H2247='131-CT'!$E$7),"131",""))</f>
        <v/>
      </c>
      <c r="O2247" s="857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0"/>
    </row>
    <row r="2248" spans="1:29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21"/>
        <v>3</v>
      </c>
      <c r="C2248" s="184">
        <f t="shared" si="120"/>
        <v>42452</v>
      </c>
      <c r="D2248" s="184" t="s">
        <v>1579</v>
      </c>
      <c r="E2248" s="191">
        <v>42452</v>
      </c>
      <c r="F2248" s="189" t="s">
        <v>988</v>
      </c>
      <c r="G2248" s="456" t="s">
        <v>506</v>
      </c>
      <c r="H2248" s="7" t="s">
        <v>1581</v>
      </c>
      <c r="I2248" s="256">
        <v>200</v>
      </c>
      <c r="J2248" s="256">
        <v>6424.0660713894113</v>
      </c>
      <c r="K2248" s="38">
        <f t="shared" si="119"/>
        <v>1284813</v>
      </c>
      <c r="L2248" s="566" t="s">
        <v>167</v>
      </c>
      <c r="M2248" s="566" t="s">
        <v>165</v>
      </c>
      <c r="N2248" s="52" t="str">
        <f>IF(AND('331-CT'!$E$7=TH!H2248,OR(L2248="331",M2248="331")),"331",IF(AND(OR(L2248="131",M2248="131"),H2248='131-CT'!$E$7),"131",""))</f>
        <v/>
      </c>
      <c r="O2248" s="857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0"/>
    </row>
    <row r="2249" spans="1:29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21"/>
        <v>3</v>
      </c>
      <c r="C2249" s="184">
        <f t="shared" si="120"/>
        <v>42452</v>
      </c>
      <c r="D2249" s="184" t="s">
        <v>1579</v>
      </c>
      <c r="E2249" s="191">
        <v>42452</v>
      </c>
      <c r="F2249" s="189" t="s">
        <v>989</v>
      </c>
      <c r="G2249" s="456" t="s">
        <v>508</v>
      </c>
      <c r="H2249" s="7" t="s">
        <v>1581</v>
      </c>
      <c r="I2249" s="256">
        <v>31</v>
      </c>
      <c r="J2249" s="256">
        <v>7258.3603663750491</v>
      </c>
      <c r="K2249" s="38">
        <f t="shared" si="119"/>
        <v>225009</v>
      </c>
      <c r="L2249" s="566" t="s">
        <v>167</v>
      </c>
      <c r="M2249" s="566" t="s">
        <v>165</v>
      </c>
      <c r="N2249" s="52" t="str">
        <f>IF(AND('331-CT'!$E$7=TH!H2249,OR(L2249="331",M2249="331")),"331",IF(AND(OR(L2249="131",M2249="131"),H2249='131-CT'!$E$7),"131",""))</f>
        <v/>
      </c>
      <c r="O2249" s="857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0"/>
      <c r="AC2249" s="557"/>
    </row>
    <row r="2250" spans="1:29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21"/>
        <v>3</v>
      </c>
      <c r="C2250" s="184">
        <f t="shared" si="120"/>
        <v>42452</v>
      </c>
      <c r="D2250" s="184" t="s">
        <v>1579</v>
      </c>
      <c r="E2250" s="191">
        <v>42452</v>
      </c>
      <c r="F2250" s="189" t="s">
        <v>990</v>
      </c>
      <c r="G2250" s="456" t="s">
        <v>508</v>
      </c>
      <c r="H2250" s="7" t="s">
        <v>1581</v>
      </c>
      <c r="I2250" s="256">
        <v>106</v>
      </c>
      <c r="J2250" s="256">
        <v>10762.396405314728</v>
      </c>
      <c r="K2250" s="38">
        <f t="shared" si="119"/>
        <v>1140814</v>
      </c>
      <c r="L2250" s="566" t="s">
        <v>167</v>
      </c>
      <c r="M2250" s="566" t="s">
        <v>165</v>
      </c>
      <c r="N2250" s="52" t="str">
        <f>IF(AND('331-CT'!$E$7=TH!H2250,OR(L2250="331",M2250="331")),"331",IF(AND(OR(L2250="131",M2250="131"),H2250='131-CT'!$E$7),"131",""))</f>
        <v/>
      </c>
      <c r="O2250" s="857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0"/>
      <c r="AC2250" s="557"/>
    </row>
    <row r="2251" spans="1:29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21"/>
        <v>3</v>
      </c>
      <c r="C2251" s="184">
        <f t="shared" si="120"/>
        <v>42452</v>
      </c>
      <c r="D2251" s="184" t="s">
        <v>1579</v>
      </c>
      <c r="E2251" s="191">
        <v>42452</v>
      </c>
      <c r="F2251" s="189" t="s">
        <v>510</v>
      </c>
      <c r="G2251" s="456" t="s">
        <v>508</v>
      </c>
      <c r="H2251" s="7" t="s">
        <v>1581</v>
      </c>
      <c r="I2251" s="256">
        <v>584</v>
      </c>
      <c r="J2251" s="256">
        <v>10595.537546317601</v>
      </c>
      <c r="K2251" s="38">
        <f t="shared" si="119"/>
        <v>6187794</v>
      </c>
      <c r="L2251" s="566" t="s">
        <v>167</v>
      </c>
      <c r="M2251" s="566" t="s">
        <v>165</v>
      </c>
      <c r="N2251" s="52" t="str">
        <f>IF(AND('331-CT'!$E$7=TH!H2251,OR(L2251="331",M2251="331")),"331",IF(AND(OR(L2251="131",M2251="131"),H2251='131-CT'!$E$7),"131",""))</f>
        <v/>
      </c>
      <c r="O2251" s="857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0"/>
    </row>
    <row r="2252" spans="1:29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21"/>
        <v>3</v>
      </c>
      <c r="C2252" s="184">
        <f t="shared" si="120"/>
        <v>42452</v>
      </c>
      <c r="D2252" s="184" t="s">
        <v>1579</v>
      </c>
      <c r="E2252" s="191">
        <v>42452</v>
      </c>
      <c r="F2252" s="189" t="s">
        <v>510</v>
      </c>
      <c r="G2252" s="456" t="s">
        <v>509</v>
      </c>
      <c r="H2252" s="7" t="s">
        <v>1581</v>
      </c>
      <c r="I2252" s="256">
        <v>644</v>
      </c>
      <c r="J2252" s="256">
        <v>10595.537546317601</v>
      </c>
      <c r="K2252" s="38">
        <f t="shared" si="119"/>
        <v>6823526</v>
      </c>
      <c r="L2252" s="566" t="s">
        <v>167</v>
      </c>
      <c r="M2252" s="566" t="s">
        <v>165</v>
      </c>
      <c r="N2252" s="52" t="str">
        <f>IF(AND('331-CT'!$E$7=TH!H2252,OR(L2252="331",M2252="331")),"331",IF(AND(OR(L2252="131",M2252="131"),H2252='131-CT'!$E$7),"131",""))</f>
        <v/>
      </c>
      <c r="O2252" s="857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0"/>
    </row>
    <row r="2253" spans="1:29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21"/>
        <v>3</v>
      </c>
      <c r="C2253" s="184">
        <f t="shared" si="120"/>
        <v>42452</v>
      </c>
      <c r="D2253" s="184" t="s">
        <v>1579</v>
      </c>
      <c r="E2253" s="191">
        <v>42452</v>
      </c>
      <c r="F2253" s="189" t="s">
        <v>991</v>
      </c>
      <c r="G2253" s="456" t="s">
        <v>509</v>
      </c>
      <c r="H2253" s="7" t="s">
        <v>1581</v>
      </c>
      <c r="I2253" s="256">
        <v>34</v>
      </c>
      <c r="J2253" s="256">
        <v>18604.762778179724</v>
      </c>
      <c r="K2253" s="38">
        <f t="shared" si="119"/>
        <v>632562</v>
      </c>
      <c r="L2253" s="566" t="s">
        <v>167</v>
      </c>
      <c r="M2253" s="566" t="s">
        <v>165</v>
      </c>
      <c r="N2253" s="52" t="str">
        <f>IF(AND('331-CT'!$E$7=TH!H2253,OR(L2253="331",M2253="331")),"331",IF(AND(OR(L2253="131",M2253="131"),H2253='131-CT'!$E$7),"131",""))</f>
        <v/>
      </c>
      <c r="O2253" s="857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0"/>
      <c r="AC2253" s="557"/>
    </row>
    <row r="2254" spans="1:29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21"/>
        <v>3</v>
      </c>
      <c r="C2254" s="184">
        <f t="shared" si="120"/>
        <v>42452</v>
      </c>
      <c r="D2254" s="184" t="s">
        <v>1579</v>
      </c>
      <c r="E2254" s="191">
        <v>42452</v>
      </c>
      <c r="F2254" s="189" t="s">
        <v>1466</v>
      </c>
      <c r="G2254" s="456" t="s">
        <v>513</v>
      </c>
      <c r="H2254" s="7" t="s">
        <v>1581</v>
      </c>
      <c r="I2254" s="256">
        <v>5000</v>
      </c>
      <c r="J2254" s="256">
        <v>9761.2432513319618</v>
      </c>
      <c r="K2254" s="38">
        <f t="shared" si="119"/>
        <v>48806216</v>
      </c>
      <c r="L2254" s="566" t="s">
        <v>167</v>
      </c>
      <c r="M2254" s="566" t="s">
        <v>165</v>
      </c>
      <c r="N2254" s="52" t="str">
        <f>IF(AND('331-CT'!$E$7=TH!H2254,OR(L2254="331",M2254="331")),"331",IF(AND(OR(L2254="131",M2254="131"),H2254='131-CT'!$E$7),"131",""))</f>
        <v/>
      </c>
      <c r="O2254" s="857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0"/>
    </row>
    <row r="2255" spans="1:29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21"/>
        <v>3</v>
      </c>
      <c r="C2255" s="184">
        <f t="shared" si="120"/>
        <v>42453</v>
      </c>
      <c r="D2255" s="184" t="s">
        <v>1579</v>
      </c>
      <c r="E2255" s="191">
        <v>42453</v>
      </c>
      <c r="F2255" s="192" t="s">
        <v>676</v>
      </c>
      <c r="G2255" s="456" t="s">
        <v>514</v>
      </c>
      <c r="H2255" s="7" t="s">
        <v>1581</v>
      </c>
      <c r="I2255" s="256">
        <v>1500</v>
      </c>
      <c r="J2255" s="256">
        <v>6590.924930386539</v>
      </c>
      <c r="K2255" s="38">
        <f t="shared" si="119"/>
        <v>9886387</v>
      </c>
      <c r="L2255" s="566" t="s">
        <v>167</v>
      </c>
      <c r="M2255" s="566" t="s">
        <v>165</v>
      </c>
      <c r="N2255" s="52" t="str">
        <f>IF(AND('331-CT'!$E$7=TH!H2255,OR(L2255="331",M2255="331")),"331",IF(AND(OR(L2255="131",M2255="131"),H2255='131-CT'!$E$7),"131",""))</f>
        <v/>
      </c>
      <c r="O2255" s="857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0"/>
    </row>
    <row r="2256" spans="1:29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21"/>
        <v>3</v>
      </c>
      <c r="C2256" s="184">
        <f t="shared" si="120"/>
        <v>42453</v>
      </c>
      <c r="D2256" s="184" t="s">
        <v>1579</v>
      </c>
      <c r="E2256" s="191">
        <v>42453</v>
      </c>
      <c r="F2256" s="192" t="s">
        <v>926</v>
      </c>
      <c r="G2256" s="456" t="s">
        <v>514</v>
      </c>
      <c r="H2256" s="7" t="s">
        <v>1581</v>
      </c>
      <c r="I2256" s="256">
        <v>250</v>
      </c>
      <c r="J2256" s="256">
        <v>5506.3423469052104</v>
      </c>
      <c r="K2256" s="38">
        <f t="shared" si="119"/>
        <v>1376586</v>
      </c>
      <c r="L2256" s="566" t="s">
        <v>167</v>
      </c>
      <c r="M2256" s="566" t="s">
        <v>165</v>
      </c>
      <c r="N2256" s="52" t="str">
        <f>IF(AND('331-CT'!$E$7=TH!H2256,OR(L2256="331",M2256="331")),"331",IF(AND(OR(L2256="131",M2256="131"),H2256='131-CT'!$E$7),"131",""))</f>
        <v/>
      </c>
      <c r="O2256" s="857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0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121"/>
        <v>3</v>
      </c>
      <c r="C2257" s="184">
        <f t="shared" si="120"/>
        <v>42453</v>
      </c>
      <c r="D2257" s="184" t="s">
        <v>1579</v>
      </c>
      <c r="E2257" s="191">
        <v>42453</v>
      </c>
      <c r="F2257" s="192" t="s">
        <v>927</v>
      </c>
      <c r="G2257" s="456" t="s">
        <v>514</v>
      </c>
      <c r="H2257" s="7" t="s">
        <v>1581</v>
      </c>
      <c r="I2257" s="256">
        <v>250</v>
      </c>
      <c r="J2257" s="256">
        <v>5339.4834879080827</v>
      </c>
      <c r="K2257" s="38">
        <f t="shared" si="119"/>
        <v>1334871</v>
      </c>
      <c r="L2257" s="566" t="s">
        <v>167</v>
      </c>
      <c r="M2257" s="566" t="s">
        <v>165</v>
      </c>
      <c r="N2257" s="52" t="str">
        <f>IF(AND('331-CT'!$E$7=TH!H2257,OR(L2257="331",M2257="331")),"331",IF(AND(OR(L2257="131",M2257="131"),H2257='131-CT'!$E$7),"131",""))</f>
        <v/>
      </c>
      <c r="O2257" s="857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790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21"/>
        <v>3</v>
      </c>
      <c r="C2258" s="184">
        <f t="shared" si="120"/>
        <v>42454</v>
      </c>
      <c r="D2258" s="184" t="s">
        <v>1579</v>
      </c>
      <c r="E2258" s="191">
        <v>42454</v>
      </c>
      <c r="F2258" s="192" t="s">
        <v>640</v>
      </c>
      <c r="G2258" s="456" t="s">
        <v>516</v>
      </c>
      <c r="H2258" s="7" t="s">
        <v>1581</v>
      </c>
      <c r="I2258" s="256">
        <v>150</v>
      </c>
      <c r="J2258" s="256">
        <v>26864.276298537541</v>
      </c>
      <c r="K2258" s="38">
        <f t="shared" si="119"/>
        <v>4029641</v>
      </c>
      <c r="L2258" s="566" t="s">
        <v>167</v>
      </c>
      <c r="M2258" s="566" t="s">
        <v>165</v>
      </c>
      <c r="N2258" s="52" t="str">
        <f>IF(AND('331-CT'!$E$7=TH!H2258,OR(L2258="331",M2258="331")),"331",IF(AND(OR(L2258="131",M2258="131"),H2258='131-CT'!$E$7),"131",""))</f>
        <v/>
      </c>
      <c r="O2258" s="857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0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21"/>
        <v>3</v>
      </c>
      <c r="C2259" s="184">
        <f t="shared" si="120"/>
        <v>42454</v>
      </c>
      <c r="D2259" s="184" t="s">
        <v>1579</v>
      </c>
      <c r="E2259" s="191">
        <v>42454</v>
      </c>
      <c r="F2259" s="192" t="s">
        <v>466</v>
      </c>
      <c r="G2259" s="456" t="s">
        <v>517</v>
      </c>
      <c r="H2259" s="7" t="s">
        <v>1581</v>
      </c>
      <c r="I2259" s="256">
        <v>1807</v>
      </c>
      <c r="J2259" s="256">
        <v>5673.2012059023382</v>
      </c>
      <c r="K2259" s="38">
        <f t="shared" ref="K2259:K2322" si="122">ROUND(I2259*J2259,0)</f>
        <v>10251475</v>
      </c>
      <c r="L2259" s="566" t="s">
        <v>167</v>
      </c>
      <c r="M2259" s="566" t="s">
        <v>165</v>
      </c>
      <c r="N2259" s="52" t="str">
        <f>IF(AND('331-CT'!$E$7=TH!H2259,OR(L2259="331",M2259="331")),"331",IF(AND(OR(L2259="131",M2259="131"),H2259='131-CT'!$E$7),"131",""))</f>
        <v/>
      </c>
      <c r="O2259" s="857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0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21"/>
        <v>3</v>
      </c>
      <c r="C2260" s="184">
        <f t="shared" si="120"/>
        <v>42454</v>
      </c>
      <c r="D2260" s="184" t="s">
        <v>1579</v>
      </c>
      <c r="E2260" s="191">
        <v>42454</v>
      </c>
      <c r="F2260" s="192" t="s">
        <v>992</v>
      </c>
      <c r="G2260" s="456" t="s">
        <v>518</v>
      </c>
      <c r="H2260" s="7" t="s">
        <v>1581</v>
      </c>
      <c r="I2260" s="256">
        <v>205</v>
      </c>
      <c r="J2260" s="256">
        <v>16101.879893222811</v>
      </c>
      <c r="K2260" s="38">
        <f t="shared" si="122"/>
        <v>3300885</v>
      </c>
      <c r="L2260" s="566" t="s">
        <v>167</v>
      </c>
      <c r="M2260" s="566" t="s">
        <v>165</v>
      </c>
      <c r="N2260" s="52" t="str">
        <f>IF(AND('331-CT'!$E$7=TH!H2260,OR(L2260="331",M2260="331")),"331",IF(AND(OR(L2260="131",M2260="131"),H2260='131-CT'!$E$7),"131",""))</f>
        <v/>
      </c>
      <c r="O2260" s="857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0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21"/>
        <v>3</v>
      </c>
      <c r="C2261" s="184">
        <f t="shared" si="120"/>
        <v>42454</v>
      </c>
      <c r="D2261" s="184" t="s">
        <v>1579</v>
      </c>
      <c r="E2261" s="191">
        <v>42454</v>
      </c>
      <c r="F2261" s="192" t="s">
        <v>1232</v>
      </c>
      <c r="G2261" s="456" t="s">
        <v>518</v>
      </c>
      <c r="H2261" s="7" t="s">
        <v>1581</v>
      </c>
      <c r="I2261" s="256">
        <v>1030</v>
      </c>
      <c r="J2261" s="256">
        <v>917.72372448420163</v>
      </c>
      <c r="K2261" s="38">
        <f t="shared" si="122"/>
        <v>945255</v>
      </c>
      <c r="L2261" s="566" t="s">
        <v>167</v>
      </c>
      <c r="M2261" s="566" t="s">
        <v>165</v>
      </c>
      <c r="N2261" s="52" t="str">
        <f>IF(AND('331-CT'!$E$7=TH!H2261,OR(L2261="331",M2261="331")),"331",IF(AND(OR(L2261="131",M2261="131"),H2261='131-CT'!$E$7),"131",""))</f>
        <v/>
      </c>
      <c r="O2261" s="857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0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21"/>
        <v>3</v>
      </c>
      <c r="C2262" s="184">
        <f t="shared" si="120"/>
        <v>42455</v>
      </c>
      <c r="D2262" s="184" t="s">
        <v>1579</v>
      </c>
      <c r="E2262" s="191">
        <v>42455</v>
      </c>
      <c r="F2262" s="192" t="s">
        <v>1474</v>
      </c>
      <c r="G2262" s="456" t="s">
        <v>519</v>
      </c>
      <c r="H2262" s="7" t="s">
        <v>1581</v>
      </c>
      <c r="I2262" s="256">
        <v>507</v>
      </c>
      <c r="J2262" s="256">
        <v>7925.7958023635592</v>
      </c>
      <c r="K2262" s="38">
        <f t="shared" si="122"/>
        <v>4018378</v>
      </c>
      <c r="L2262" s="566" t="s">
        <v>167</v>
      </c>
      <c r="M2262" s="566" t="s">
        <v>165</v>
      </c>
      <c r="N2262" s="52" t="str">
        <f>IF(AND('331-CT'!$E$7=TH!H2262,OR(L2262="331",M2262="331")),"331",IF(AND(OR(L2262="131",M2262="131"),H2262='131-CT'!$E$7),"131",""))</f>
        <v/>
      </c>
      <c r="O2262" s="857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0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21"/>
        <v>3</v>
      </c>
      <c r="C2263" s="184">
        <f t="shared" si="120"/>
        <v>42455</v>
      </c>
      <c r="D2263" s="184" t="s">
        <v>1579</v>
      </c>
      <c r="E2263" s="191">
        <v>42455</v>
      </c>
      <c r="F2263" s="192" t="s">
        <v>993</v>
      </c>
      <c r="G2263" s="456" t="s">
        <v>520</v>
      </c>
      <c r="H2263" s="7" t="s">
        <v>1581</v>
      </c>
      <c r="I2263" s="256">
        <v>220</v>
      </c>
      <c r="J2263" s="256">
        <v>19856.204220658179</v>
      </c>
      <c r="K2263" s="38">
        <f t="shared" si="122"/>
        <v>4368365</v>
      </c>
      <c r="L2263" s="566" t="s">
        <v>167</v>
      </c>
      <c r="M2263" s="566" t="s">
        <v>165</v>
      </c>
      <c r="N2263" s="52" t="str">
        <f>IF(AND('331-CT'!$E$7=TH!H2263,OR(L2263="331",M2263="331")),"331",IF(AND(OR(L2263="131",M2263="131"),H2263='131-CT'!$E$7),"131",""))</f>
        <v/>
      </c>
      <c r="O2263" s="857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0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21"/>
        <v>3</v>
      </c>
      <c r="C2264" s="184">
        <f t="shared" si="120"/>
        <v>42455</v>
      </c>
      <c r="D2264" s="184" t="s">
        <v>1579</v>
      </c>
      <c r="E2264" s="191">
        <v>42455</v>
      </c>
      <c r="F2264" s="192" t="s">
        <v>1468</v>
      </c>
      <c r="G2264" s="456" t="s">
        <v>522</v>
      </c>
      <c r="H2264" s="7" t="s">
        <v>1581</v>
      </c>
      <c r="I2264" s="256">
        <v>3000</v>
      </c>
      <c r="J2264" s="256">
        <v>3253.7477504439876</v>
      </c>
      <c r="K2264" s="38">
        <f t="shared" si="122"/>
        <v>9761243</v>
      </c>
      <c r="L2264" s="566" t="s">
        <v>167</v>
      </c>
      <c r="M2264" s="566" t="s">
        <v>165</v>
      </c>
      <c r="N2264" s="52" t="str">
        <f>IF(AND('331-CT'!$E$7=TH!H2264,OR(L2264="331",M2264="331")),"331",IF(AND(OR(L2264="131",M2264="131"),H2264='131-CT'!$E$7),"131",""))</f>
        <v/>
      </c>
      <c r="O2264" s="857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0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21"/>
        <v>3</v>
      </c>
      <c r="C2265" s="184">
        <f t="shared" si="120"/>
        <v>42455</v>
      </c>
      <c r="D2265" s="184" t="s">
        <v>1579</v>
      </c>
      <c r="E2265" s="191">
        <v>42455</v>
      </c>
      <c r="F2265" s="192" t="s">
        <v>994</v>
      </c>
      <c r="G2265" s="456" t="s">
        <v>523</v>
      </c>
      <c r="H2265" s="7" t="s">
        <v>1581</v>
      </c>
      <c r="I2265" s="256">
        <v>3750</v>
      </c>
      <c r="J2265" s="256">
        <v>6757.7837893836668</v>
      </c>
      <c r="K2265" s="38">
        <f t="shared" si="122"/>
        <v>25341689</v>
      </c>
      <c r="L2265" s="566" t="s">
        <v>167</v>
      </c>
      <c r="M2265" s="566" t="s">
        <v>165</v>
      </c>
      <c r="N2265" s="52" t="str">
        <f>IF(AND('331-CT'!$E$7=TH!H2265,OR(L2265="331",M2265="331")),"331",IF(AND(OR(L2265="131",M2265="131"),H2265='131-CT'!$E$7),"131",""))</f>
        <v/>
      </c>
      <c r="O2265" s="857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0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21"/>
        <v>3</v>
      </c>
      <c r="C2266" s="184">
        <f t="shared" si="120"/>
        <v>42456</v>
      </c>
      <c r="D2266" s="184" t="s">
        <v>1579</v>
      </c>
      <c r="E2266" s="191">
        <v>42456</v>
      </c>
      <c r="F2266" s="192" t="s">
        <v>724</v>
      </c>
      <c r="G2266" s="456" t="s">
        <v>524</v>
      </c>
      <c r="H2266" s="7" t="s">
        <v>1581</v>
      </c>
      <c r="I2266" s="256">
        <v>1100</v>
      </c>
      <c r="J2266" s="256">
        <v>1418.3003014755845</v>
      </c>
      <c r="K2266" s="38">
        <f t="shared" si="122"/>
        <v>1560130</v>
      </c>
      <c r="L2266" s="566" t="s">
        <v>167</v>
      </c>
      <c r="M2266" s="566" t="s">
        <v>165</v>
      </c>
      <c r="N2266" s="52" t="str">
        <f>IF(AND('331-CT'!$E$7=TH!H2266,OR(L2266="331",M2266="331")),"331",IF(AND(OR(L2266="131",M2266="131"),H2266='131-CT'!$E$7),"131",""))</f>
        <v/>
      </c>
      <c r="O2266" s="857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0"/>
    </row>
    <row r="2267" spans="1:28" s="827" customFormat="1" ht="15.75" customHeight="1">
      <c r="A2267" s="924" t="str">
        <f>IF(B2267&lt;&gt;"",IF(AND(B2267&gt;=_TM1,B2267&lt;=_TM2,OR(TH!L2267="1111",TH!M2267="1111")),TH!D2267,""),"")</f>
        <v/>
      </c>
      <c r="B2267" s="818">
        <f t="shared" si="121"/>
        <v>4</v>
      </c>
      <c r="C2267" s="819">
        <f t="shared" si="120"/>
        <v>42464</v>
      </c>
      <c r="D2267" s="819" t="s">
        <v>1579</v>
      </c>
      <c r="E2267" s="820">
        <v>42464</v>
      </c>
      <c r="F2267" s="821" t="s">
        <v>1341</v>
      </c>
      <c r="G2267" s="822" t="s">
        <v>527</v>
      </c>
      <c r="H2267" s="823" t="s">
        <v>1581</v>
      </c>
      <c r="I2267" s="824">
        <v>300</v>
      </c>
      <c r="J2267" s="824">
        <v>9291.2001617002134</v>
      </c>
      <c r="K2267" s="868">
        <f t="shared" si="122"/>
        <v>2787360</v>
      </c>
      <c r="L2267" s="931" t="s">
        <v>167</v>
      </c>
      <c r="M2267" s="931" t="s">
        <v>165</v>
      </c>
      <c r="N2267" s="52" t="str">
        <f>IF(AND('331-CT'!$E$7=TH!H2267,OR(L2267="331",M2267="331")),"331",IF(AND(OR(L2267="131",M2267="131"),H2267='131-CT'!$E$7),"131",""))</f>
        <v/>
      </c>
      <c r="O2267" s="857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92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21"/>
        <v>4</v>
      </c>
      <c r="C2268" s="184">
        <f t="shared" si="120"/>
        <v>42467</v>
      </c>
      <c r="D2268" s="184" t="s">
        <v>1579</v>
      </c>
      <c r="E2268" s="191">
        <v>42467</v>
      </c>
      <c r="F2268" s="192" t="s">
        <v>1474</v>
      </c>
      <c r="G2268" s="456" t="s">
        <v>995</v>
      </c>
      <c r="H2268" s="7" t="s">
        <v>1581</v>
      </c>
      <c r="I2268" s="256">
        <v>292</v>
      </c>
      <c r="J2268" s="256">
        <v>8097.8350033166989</v>
      </c>
      <c r="K2268" s="38">
        <f t="shared" si="122"/>
        <v>2364568</v>
      </c>
      <c r="L2268" s="566" t="s">
        <v>167</v>
      </c>
      <c r="M2268" s="566" t="s">
        <v>165</v>
      </c>
      <c r="N2268" s="52" t="str">
        <f>IF(AND('331-CT'!$E$7=TH!H2268,OR(L2268="331",M2268="331")),"331",IF(AND(OR(L2268="131",M2268="131"),H2268='131-CT'!$E$7),"131",""))</f>
        <v/>
      </c>
      <c r="O2268" s="857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0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21"/>
        <v>4</v>
      </c>
      <c r="C2269" s="184">
        <f t="shared" si="120"/>
        <v>42467</v>
      </c>
      <c r="D2269" s="184" t="s">
        <v>1579</v>
      </c>
      <c r="E2269" s="191">
        <v>42467</v>
      </c>
      <c r="F2269" s="192" t="s">
        <v>1474</v>
      </c>
      <c r="G2269" s="456" t="s">
        <v>995</v>
      </c>
      <c r="H2269" s="7" t="s">
        <v>1581</v>
      </c>
      <c r="I2269" s="256">
        <v>486</v>
      </c>
      <c r="J2269" s="256">
        <v>8097.8350033166989</v>
      </c>
      <c r="K2269" s="38">
        <f t="shared" si="122"/>
        <v>3935548</v>
      </c>
      <c r="L2269" s="566" t="s">
        <v>167</v>
      </c>
      <c r="M2269" s="566" t="s">
        <v>165</v>
      </c>
      <c r="N2269" s="52" t="str">
        <f>IF(AND('331-CT'!$E$7=TH!H2269,OR(L2269="331",M2269="331")),"331",IF(AND(OR(L2269="131",M2269="131"),H2269='131-CT'!$E$7),"131",""))</f>
        <v/>
      </c>
      <c r="O2269" s="857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0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21"/>
        <v>4</v>
      </c>
      <c r="C2270" s="184">
        <f t="shared" ref="C2270:C2333" si="123">E2270</f>
        <v>42467</v>
      </c>
      <c r="D2270" s="184" t="s">
        <v>1579</v>
      </c>
      <c r="E2270" s="191">
        <v>42467</v>
      </c>
      <c r="F2270" s="192" t="s">
        <v>1474</v>
      </c>
      <c r="G2270" s="456" t="s">
        <v>995</v>
      </c>
      <c r="H2270" s="7" t="s">
        <v>1581</v>
      </c>
      <c r="I2270" s="256">
        <v>303</v>
      </c>
      <c r="J2270" s="256">
        <v>8097.8350033166989</v>
      </c>
      <c r="K2270" s="38">
        <f t="shared" si="122"/>
        <v>2453644</v>
      </c>
      <c r="L2270" s="566" t="s">
        <v>167</v>
      </c>
      <c r="M2270" s="566" t="s">
        <v>165</v>
      </c>
      <c r="N2270" s="52" t="str">
        <f>IF(AND('331-CT'!$E$7=TH!H2270,OR(L2270="331",M2270="331")),"331",IF(AND(OR(L2270="131",M2270="131"),H2270='131-CT'!$E$7),"131",""))</f>
        <v/>
      </c>
      <c r="O2270" s="857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0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21"/>
        <v>4</v>
      </c>
      <c r="C2271" s="184">
        <f t="shared" si="123"/>
        <v>42467</v>
      </c>
      <c r="D2271" s="184" t="s">
        <v>1579</v>
      </c>
      <c r="E2271" s="191">
        <v>42467</v>
      </c>
      <c r="F2271" s="192" t="s">
        <v>996</v>
      </c>
      <c r="G2271" s="456" t="s">
        <v>528</v>
      </c>
      <c r="H2271" s="7" t="s">
        <v>1581</v>
      </c>
      <c r="I2271" s="256">
        <v>529</v>
      </c>
      <c r="J2271" s="256">
        <v>6733.9891080212556</v>
      </c>
      <c r="K2271" s="38">
        <f t="shared" si="122"/>
        <v>3562280</v>
      </c>
      <c r="L2271" s="566" t="s">
        <v>167</v>
      </c>
      <c r="M2271" s="566" t="s">
        <v>165</v>
      </c>
      <c r="N2271" s="52" t="str">
        <f>IF(AND('331-CT'!$E$7=TH!H2271,OR(L2271="331",M2271="331")),"331",IF(AND(OR(L2271="131",M2271="131"),H2271='131-CT'!$E$7),"131",""))</f>
        <v/>
      </c>
      <c r="O2271" s="857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0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121"/>
        <v>4</v>
      </c>
      <c r="C2272" s="184">
        <f t="shared" si="123"/>
        <v>42467</v>
      </c>
      <c r="D2272" s="184" t="s">
        <v>1579</v>
      </c>
      <c r="E2272" s="191">
        <v>42467</v>
      </c>
      <c r="F2272" s="192" t="s">
        <v>997</v>
      </c>
      <c r="G2272" s="456" t="s">
        <v>528</v>
      </c>
      <c r="H2272" s="7" t="s">
        <v>1581</v>
      </c>
      <c r="I2272" s="256">
        <v>497</v>
      </c>
      <c r="J2272" s="256">
        <v>8353.5561086845955</v>
      </c>
      <c r="K2272" s="38">
        <f t="shared" si="122"/>
        <v>4151717</v>
      </c>
      <c r="L2272" s="566" t="s">
        <v>167</v>
      </c>
      <c r="M2272" s="566" t="s">
        <v>165</v>
      </c>
      <c r="N2272" s="52" t="str">
        <f>IF(AND('331-CT'!$E$7=TH!H2272,OR(L2272="331",M2272="331")),"331",IF(AND(OR(L2272="131",M2272="131"),H2272='131-CT'!$E$7),"131",""))</f>
        <v/>
      </c>
      <c r="O2272" s="857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0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21"/>
        <v>4</v>
      </c>
      <c r="C2273" s="184">
        <f t="shared" si="123"/>
        <v>42467</v>
      </c>
      <c r="D2273" s="184" t="s">
        <v>1579</v>
      </c>
      <c r="E2273" s="191">
        <v>42467</v>
      </c>
      <c r="F2273" s="192" t="s">
        <v>987</v>
      </c>
      <c r="G2273" s="456" t="s">
        <v>528</v>
      </c>
      <c r="H2273" s="7" t="s">
        <v>1581</v>
      </c>
      <c r="I2273" s="256">
        <v>516</v>
      </c>
      <c r="J2273" s="256">
        <v>7756.8735294928383</v>
      </c>
      <c r="K2273" s="38">
        <f t="shared" si="122"/>
        <v>4002547</v>
      </c>
      <c r="L2273" s="566" t="s">
        <v>167</v>
      </c>
      <c r="M2273" s="566" t="s">
        <v>165</v>
      </c>
      <c r="N2273" s="52" t="str">
        <f>IF(AND('331-CT'!$E$7=TH!H2273,OR(L2273="331",M2273="331")),"331",IF(AND(OR(L2273="131",M2273="131"),H2273='131-CT'!$E$7),"131",""))</f>
        <v/>
      </c>
      <c r="O2273" s="857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0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21"/>
        <v>4</v>
      </c>
      <c r="C2274" s="184">
        <f t="shared" si="123"/>
        <v>42468</v>
      </c>
      <c r="D2274" s="184" t="s">
        <v>1579</v>
      </c>
      <c r="E2274" s="191">
        <v>42468</v>
      </c>
      <c r="F2274" s="192" t="s">
        <v>466</v>
      </c>
      <c r="G2274" s="456" t="s">
        <v>530</v>
      </c>
      <c r="H2274" s="7" t="s">
        <v>1581</v>
      </c>
      <c r="I2274" s="256">
        <v>652</v>
      </c>
      <c r="J2274" s="256">
        <v>5796.3450550056377</v>
      </c>
      <c r="K2274" s="38">
        <f t="shared" si="122"/>
        <v>3779217</v>
      </c>
      <c r="L2274" s="566" t="s">
        <v>167</v>
      </c>
      <c r="M2274" s="566" t="s">
        <v>165</v>
      </c>
      <c r="N2274" s="52" t="str">
        <f>IF(AND('331-CT'!$E$7=TH!H2274,OR(L2274="331",M2274="331")),"331",IF(AND(OR(L2274="131",M2274="131"),H2274='131-CT'!$E$7),"131",""))</f>
        <v/>
      </c>
      <c r="O2274" s="857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0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21"/>
        <v>4</v>
      </c>
      <c r="C2275" s="184">
        <f t="shared" si="123"/>
        <v>42468</v>
      </c>
      <c r="D2275" s="184" t="s">
        <v>1579</v>
      </c>
      <c r="E2275" s="191">
        <v>42468</v>
      </c>
      <c r="F2275" s="192" t="s">
        <v>466</v>
      </c>
      <c r="G2275" s="456" t="s">
        <v>530</v>
      </c>
      <c r="H2275" s="7" t="s">
        <v>1581</v>
      </c>
      <c r="I2275" s="256">
        <v>1495</v>
      </c>
      <c r="J2275" s="256">
        <v>5796.3450550056377</v>
      </c>
      <c r="K2275" s="38">
        <f t="shared" si="122"/>
        <v>8665536</v>
      </c>
      <c r="L2275" s="566" t="s">
        <v>167</v>
      </c>
      <c r="M2275" s="566" t="s">
        <v>165</v>
      </c>
      <c r="N2275" s="52" t="str">
        <f>IF(AND('331-CT'!$E$7=TH!H2275,OR(L2275="331",M2275="331")),"331",IF(AND(OR(L2275="131",M2275="131"),H2275='131-CT'!$E$7),"131",""))</f>
        <v/>
      </c>
      <c r="O2275" s="857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0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21"/>
        <v>4</v>
      </c>
      <c r="C2276" s="184">
        <f t="shared" si="123"/>
        <v>42468</v>
      </c>
      <c r="D2276" s="184" t="s">
        <v>1579</v>
      </c>
      <c r="E2276" s="191">
        <v>42468</v>
      </c>
      <c r="F2276" s="192" t="s">
        <v>668</v>
      </c>
      <c r="G2276" s="456" t="s">
        <v>532</v>
      </c>
      <c r="H2276" s="7" t="s">
        <v>1581</v>
      </c>
      <c r="I2276" s="256">
        <v>210</v>
      </c>
      <c r="J2276" s="256">
        <v>6819.2294764772205</v>
      </c>
      <c r="K2276" s="38">
        <f t="shared" si="122"/>
        <v>1432038</v>
      </c>
      <c r="L2276" s="566" t="s">
        <v>167</v>
      </c>
      <c r="M2276" s="566" t="s">
        <v>165</v>
      </c>
      <c r="N2276" s="52" t="str">
        <f>IF(AND('331-CT'!$E$7=TH!H2276,OR(L2276="331",M2276="331")),"331",IF(AND(OR(L2276="131",M2276="131"),H2276='131-CT'!$E$7),"131",""))</f>
        <v/>
      </c>
      <c r="O2276" s="857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0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21"/>
        <v>4</v>
      </c>
      <c r="C2277" s="184">
        <f t="shared" si="123"/>
        <v>42468</v>
      </c>
      <c r="D2277" s="184" t="s">
        <v>1579</v>
      </c>
      <c r="E2277" s="191">
        <v>42468</v>
      </c>
      <c r="F2277" s="192" t="s">
        <v>669</v>
      </c>
      <c r="G2277" s="456" t="s">
        <v>532</v>
      </c>
      <c r="H2277" s="7" t="s">
        <v>1581</v>
      </c>
      <c r="I2277" s="256">
        <v>320</v>
      </c>
      <c r="J2277" s="256">
        <v>7927.3542664047691</v>
      </c>
      <c r="K2277" s="38">
        <f t="shared" si="122"/>
        <v>2536753</v>
      </c>
      <c r="L2277" s="566" t="s">
        <v>167</v>
      </c>
      <c r="M2277" s="566" t="s">
        <v>165</v>
      </c>
      <c r="N2277" s="52" t="str">
        <f>IF(AND('331-CT'!$E$7=TH!H2277,OR(L2277="331",M2277="331")),"331",IF(AND(OR(L2277="131",M2277="131"),H2277='131-CT'!$E$7),"131",""))</f>
        <v/>
      </c>
      <c r="O2277" s="857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0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21"/>
        <v>4</v>
      </c>
      <c r="C2278" s="184">
        <f t="shared" si="123"/>
        <v>42468</v>
      </c>
      <c r="D2278" s="184" t="s">
        <v>1579</v>
      </c>
      <c r="E2278" s="191">
        <v>42468</v>
      </c>
      <c r="F2278" s="192" t="s">
        <v>1465</v>
      </c>
      <c r="G2278" s="456" t="s">
        <v>533</v>
      </c>
      <c r="H2278" s="7" t="s">
        <v>1581</v>
      </c>
      <c r="I2278" s="256">
        <v>200</v>
      </c>
      <c r="J2278" s="256">
        <v>8694.5175825084552</v>
      </c>
      <c r="K2278" s="38">
        <f t="shared" si="122"/>
        <v>1738904</v>
      </c>
      <c r="L2278" s="566" t="s">
        <v>167</v>
      </c>
      <c r="M2278" s="566" t="s">
        <v>165</v>
      </c>
      <c r="N2278" s="52" t="str">
        <f>IF(AND('331-CT'!$E$7=TH!H2278,OR(L2278="331",M2278="331")),"331",IF(AND(OR(L2278="131",M2278="131"),H2278='131-CT'!$E$7),"131",""))</f>
        <v/>
      </c>
      <c r="O2278" s="857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0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21"/>
        <v>4</v>
      </c>
      <c r="C2279" s="184">
        <f t="shared" si="123"/>
        <v>42468</v>
      </c>
      <c r="D2279" s="184" t="s">
        <v>1579</v>
      </c>
      <c r="E2279" s="191">
        <v>42468</v>
      </c>
      <c r="F2279" s="192" t="s">
        <v>1466</v>
      </c>
      <c r="G2279" s="456" t="s">
        <v>533</v>
      </c>
      <c r="H2279" s="7" t="s">
        <v>1581</v>
      </c>
      <c r="I2279" s="256">
        <v>200</v>
      </c>
      <c r="J2279" s="256">
        <v>9973.1231093479346</v>
      </c>
      <c r="K2279" s="38">
        <f t="shared" si="122"/>
        <v>1994625</v>
      </c>
      <c r="L2279" s="566" t="s">
        <v>167</v>
      </c>
      <c r="M2279" s="566" t="s">
        <v>165</v>
      </c>
      <c r="N2279" s="52" t="str">
        <f>IF(AND('331-CT'!$E$7=TH!H2279,OR(L2279="331",M2279="331")),"331",IF(AND(OR(L2279="131",M2279="131"),H2279='131-CT'!$E$7),"131",""))</f>
        <v/>
      </c>
      <c r="O2279" s="857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0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21"/>
        <v>4</v>
      </c>
      <c r="C2280" s="184">
        <f t="shared" si="123"/>
        <v>42468</v>
      </c>
      <c r="D2280" s="184" t="s">
        <v>1579</v>
      </c>
      <c r="E2280" s="191">
        <v>42468</v>
      </c>
      <c r="F2280" s="192" t="s">
        <v>1337</v>
      </c>
      <c r="G2280" s="456" t="s">
        <v>533</v>
      </c>
      <c r="H2280" s="7" t="s">
        <v>1581</v>
      </c>
      <c r="I2280" s="256">
        <v>200</v>
      </c>
      <c r="J2280" s="256">
        <v>10569.805688539691</v>
      </c>
      <c r="K2280" s="38">
        <f t="shared" si="122"/>
        <v>2113961</v>
      </c>
      <c r="L2280" s="566" t="s">
        <v>167</v>
      </c>
      <c r="M2280" s="566" t="s">
        <v>165</v>
      </c>
      <c r="N2280" s="52" t="str">
        <f>IF(AND('331-CT'!$E$7=TH!H2280,OR(L2280="331",M2280="331")),"331",IF(AND(OR(L2280="131",M2280="131"),H2280='131-CT'!$E$7),"131",""))</f>
        <v/>
      </c>
      <c r="O2280" s="857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0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21"/>
        <v>4</v>
      </c>
      <c r="C2281" s="184">
        <f t="shared" si="123"/>
        <v>42468</v>
      </c>
      <c r="D2281" s="184" t="s">
        <v>1579</v>
      </c>
      <c r="E2281" s="191">
        <v>42468</v>
      </c>
      <c r="F2281" s="192" t="s">
        <v>1338</v>
      </c>
      <c r="G2281" s="456" t="s">
        <v>533</v>
      </c>
      <c r="H2281" s="7" t="s">
        <v>1581</v>
      </c>
      <c r="I2281" s="256">
        <v>200</v>
      </c>
      <c r="J2281" s="256">
        <v>12956.536005306718</v>
      </c>
      <c r="K2281" s="38">
        <f t="shared" si="122"/>
        <v>2591307</v>
      </c>
      <c r="L2281" s="566" t="s">
        <v>167</v>
      </c>
      <c r="M2281" s="566" t="s">
        <v>165</v>
      </c>
      <c r="N2281" s="52" t="str">
        <f>IF(AND('331-CT'!$E$7=TH!H2281,OR(L2281="331",M2281="331")),"331",IF(AND(OR(L2281="131",M2281="131"),H2281='131-CT'!$E$7),"131",""))</f>
        <v/>
      </c>
      <c r="O2281" s="857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0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ref="B2282:B2345" si="124">IF(C2282&lt;&gt;"",MONTH(C2282),"")</f>
        <v>4</v>
      </c>
      <c r="C2282" s="184">
        <f t="shared" si="123"/>
        <v>42468</v>
      </c>
      <c r="D2282" s="184" t="s">
        <v>1579</v>
      </c>
      <c r="E2282" s="191">
        <v>42468</v>
      </c>
      <c r="F2282" s="192" t="s">
        <v>942</v>
      </c>
      <c r="G2282" s="456" t="s">
        <v>534</v>
      </c>
      <c r="H2282" s="7" t="s">
        <v>1581</v>
      </c>
      <c r="I2282" s="256">
        <v>40</v>
      </c>
      <c r="J2282" s="256">
        <v>19605.284744872006</v>
      </c>
      <c r="K2282" s="38">
        <f t="shared" si="122"/>
        <v>784211</v>
      </c>
      <c r="L2282" s="566" t="s">
        <v>167</v>
      </c>
      <c r="M2282" s="566" t="s">
        <v>165</v>
      </c>
      <c r="N2282" s="52" t="str">
        <f>IF(AND('331-CT'!$E$7=TH!H2282,OR(L2282="331",M2282="331")),"331",IF(AND(OR(L2282="131",M2282="131"),H2282='131-CT'!$E$7),"131",""))</f>
        <v/>
      </c>
      <c r="O2282" s="857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0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24"/>
        <v>4</v>
      </c>
      <c r="C2283" s="184">
        <f t="shared" si="123"/>
        <v>42468</v>
      </c>
      <c r="D2283" s="184" t="s">
        <v>1579</v>
      </c>
      <c r="E2283" s="191">
        <v>42468</v>
      </c>
      <c r="F2283" s="192" t="s">
        <v>998</v>
      </c>
      <c r="G2283" s="456" t="s">
        <v>535</v>
      </c>
      <c r="H2283" s="7" t="s">
        <v>1581</v>
      </c>
      <c r="I2283" s="256">
        <v>540</v>
      </c>
      <c r="J2283" s="256">
        <v>6222.5468972854633</v>
      </c>
      <c r="K2283" s="38">
        <f t="shared" si="122"/>
        <v>3360175</v>
      </c>
      <c r="L2283" s="566" t="s">
        <v>167</v>
      </c>
      <c r="M2283" s="566" t="s">
        <v>165</v>
      </c>
      <c r="N2283" s="52" t="str">
        <f>IF(AND('331-CT'!$E$7=TH!H2283,OR(L2283="331",M2283="331")),"331",IF(AND(OR(L2283="131",M2283="131"),H2283='131-CT'!$E$7),"131",""))</f>
        <v/>
      </c>
      <c r="O2283" s="857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0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24"/>
        <v>4</v>
      </c>
      <c r="C2284" s="184">
        <f t="shared" si="123"/>
        <v>42468</v>
      </c>
      <c r="D2284" s="184" t="s">
        <v>1579</v>
      </c>
      <c r="E2284" s="191">
        <v>42468</v>
      </c>
      <c r="F2284" s="192" t="s">
        <v>1468</v>
      </c>
      <c r="G2284" s="456" t="s">
        <v>536</v>
      </c>
      <c r="H2284" s="7" t="s">
        <v>1581</v>
      </c>
      <c r="I2284" s="256">
        <v>3000</v>
      </c>
      <c r="J2284" s="256">
        <v>3324.3743697826449</v>
      </c>
      <c r="K2284" s="38">
        <f t="shared" si="122"/>
        <v>9973123</v>
      </c>
      <c r="L2284" s="566" t="s">
        <v>167</v>
      </c>
      <c r="M2284" s="566" t="s">
        <v>165</v>
      </c>
      <c r="N2284" s="52" t="str">
        <f>IF(AND('331-CT'!$E$7=TH!H2284,OR(L2284="331",M2284="331")),"331",IF(AND(OR(L2284="131",M2284="131"),H2284='131-CT'!$E$7),"131",""))</f>
        <v/>
      </c>
      <c r="O2284" s="857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0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24"/>
        <v>4</v>
      </c>
      <c r="C2285" s="184">
        <f t="shared" si="123"/>
        <v>42471</v>
      </c>
      <c r="D2285" s="184" t="s">
        <v>1579</v>
      </c>
      <c r="E2285" s="191">
        <v>42471</v>
      </c>
      <c r="F2285" s="192" t="s">
        <v>999</v>
      </c>
      <c r="G2285" s="456" t="s">
        <v>538</v>
      </c>
      <c r="H2285" s="7" t="s">
        <v>1581</v>
      </c>
      <c r="I2285" s="256">
        <v>100</v>
      </c>
      <c r="J2285" s="256">
        <v>9291.2001617002134</v>
      </c>
      <c r="K2285" s="38">
        <f t="shared" si="122"/>
        <v>929120</v>
      </c>
      <c r="L2285" s="566" t="s">
        <v>167</v>
      </c>
      <c r="M2285" s="566" t="s">
        <v>165</v>
      </c>
      <c r="N2285" s="52" t="str">
        <f>IF(AND('331-CT'!$E$7=TH!H2285,OR(L2285="331",M2285="331")),"331",IF(AND(OR(L2285="131",M2285="131"),H2285='131-CT'!$E$7),"131",""))</f>
        <v/>
      </c>
      <c r="O2285" s="857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0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24"/>
        <v>4</v>
      </c>
      <c r="C2286" s="184">
        <f t="shared" si="123"/>
        <v>42471</v>
      </c>
      <c r="D2286" s="184" t="s">
        <v>1579</v>
      </c>
      <c r="E2286" s="191">
        <v>42471</v>
      </c>
      <c r="F2286" s="192" t="s">
        <v>1001</v>
      </c>
      <c r="G2286" s="456" t="s">
        <v>538</v>
      </c>
      <c r="H2286" s="7" t="s">
        <v>1581</v>
      </c>
      <c r="I2286" s="256">
        <v>100</v>
      </c>
      <c r="J2286" s="256">
        <v>11166.488267731449</v>
      </c>
      <c r="K2286" s="38">
        <f t="shared" si="122"/>
        <v>1116649</v>
      </c>
      <c r="L2286" s="566" t="s">
        <v>167</v>
      </c>
      <c r="M2286" s="566" t="s">
        <v>165</v>
      </c>
      <c r="N2286" s="52" t="str">
        <f>IF(AND('331-CT'!$E$7=TH!H2286,OR(L2286="331",M2286="331")),"331",IF(AND(OR(L2286="131",M2286="131"),H2286='131-CT'!$E$7),"131",""))</f>
        <v/>
      </c>
      <c r="O2286" s="857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0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24"/>
        <v>4</v>
      </c>
      <c r="C2287" s="184">
        <f t="shared" si="123"/>
        <v>42471</v>
      </c>
      <c r="D2287" s="184" t="s">
        <v>1579</v>
      </c>
      <c r="E2287" s="191">
        <v>42471</v>
      </c>
      <c r="F2287" s="192" t="s">
        <v>1002</v>
      </c>
      <c r="G2287" s="456" t="s">
        <v>538</v>
      </c>
      <c r="H2287" s="7" t="s">
        <v>1581</v>
      </c>
      <c r="I2287" s="256">
        <v>100</v>
      </c>
      <c r="J2287" s="256">
        <v>10484.565320083726</v>
      </c>
      <c r="K2287" s="38">
        <f t="shared" si="122"/>
        <v>1048457</v>
      </c>
      <c r="L2287" s="566" t="s">
        <v>167</v>
      </c>
      <c r="M2287" s="566" t="s">
        <v>165</v>
      </c>
      <c r="N2287" s="52" t="str">
        <f>IF(AND('331-CT'!$E$7=TH!H2287,OR(L2287="331",M2287="331")),"331",IF(AND(OR(L2287="131",M2287="131"),H2287='131-CT'!$E$7),"131",""))</f>
        <v/>
      </c>
      <c r="O2287" s="857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0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24"/>
        <v>4</v>
      </c>
      <c r="C2288" s="184">
        <f t="shared" si="123"/>
        <v>42472</v>
      </c>
      <c r="D2288" s="184" t="s">
        <v>1579</v>
      </c>
      <c r="E2288" s="191">
        <v>42472</v>
      </c>
      <c r="F2288" s="192" t="s">
        <v>675</v>
      </c>
      <c r="G2288" s="456" t="s">
        <v>539</v>
      </c>
      <c r="H2288" s="7" t="s">
        <v>1581</v>
      </c>
      <c r="I2288" s="256">
        <v>1004</v>
      </c>
      <c r="J2288" s="256">
        <v>9717.402003980038</v>
      </c>
      <c r="K2288" s="38">
        <f t="shared" si="122"/>
        <v>9756272</v>
      </c>
      <c r="L2288" s="566" t="s">
        <v>167</v>
      </c>
      <c r="M2288" s="566" t="s">
        <v>165</v>
      </c>
      <c r="N2288" s="52" t="str">
        <f>IF(AND('331-CT'!$E$7=TH!H2288,OR(L2288="331",M2288="331")),"331",IF(AND(OR(L2288="131",M2288="131"),H2288='131-CT'!$E$7),"131",""))</f>
        <v/>
      </c>
      <c r="O2288" s="857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0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24"/>
        <v>4</v>
      </c>
      <c r="C2289" s="184">
        <f t="shared" si="123"/>
        <v>42472</v>
      </c>
      <c r="D2289" s="184" t="s">
        <v>1579</v>
      </c>
      <c r="E2289" s="191">
        <v>42472</v>
      </c>
      <c r="F2289" s="192" t="s">
        <v>723</v>
      </c>
      <c r="G2289" s="456" t="s">
        <v>539</v>
      </c>
      <c r="H2289" s="7" t="s">
        <v>1581</v>
      </c>
      <c r="I2289" s="256">
        <v>2008</v>
      </c>
      <c r="J2289" s="256">
        <v>767.16331610368729</v>
      </c>
      <c r="K2289" s="38">
        <f t="shared" si="122"/>
        <v>1540464</v>
      </c>
      <c r="L2289" s="566" t="s">
        <v>167</v>
      </c>
      <c r="M2289" s="566" t="s">
        <v>165</v>
      </c>
      <c r="N2289" s="52" t="str">
        <f>IF(AND('331-CT'!$E$7=TH!H2289,OR(L2289="331",M2289="331")),"331",IF(AND(OR(L2289="131",M2289="131"),H2289='131-CT'!$E$7),"131",""))</f>
        <v/>
      </c>
      <c r="O2289" s="857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0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24"/>
        <v>4</v>
      </c>
      <c r="C2290" s="184">
        <f t="shared" si="123"/>
        <v>42472</v>
      </c>
      <c r="D2290" s="184" t="s">
        <v>1579</v>
      </c>
      <c r="E2290" s="191">
        <v>42472</v>
      </c>
      <c r="F2290" s="192" t="s">
        <v>1003</v>
      </c>
      <c r="G2290" s="456" t="s">
        <v>540</v>
      </c>
      <c r="H2290" s="7" t="s">
        <v>1581</v>
      </c>
      <c r="I2290" s="256">
        <v>207</v>
      </c>
      <c r="J2290" s="256">
        <v>7756.8735294928383</v>
      </c>
      <c r="K2290" s="38">
        <f t="shared" si="122"/>
        <v>1605673</v>
      </c>
      <c r="L2290" s="566" t="s">
        <v>167</v>
      </c>
      <c r="M2290" s="566" t="s">
        <v>165</v>
      </c>
      <c r="N2290" s="52" t="str">
        <f>IF(AND('331-CT'!$E$7=TH!H2290,OR(L2290="331",M2290="331")),"331",IF(AND(OR(L2290="131",M2290="131"),H2290='131-CT'!$E$7),"131",""))</f>
        <v/>
      </c>
      <c r="O2290" s="857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0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24"/>
        <v>4</v>
      </c>
      <c r="C2291" s="184">
        <f t="shared" si="123"/>
        <v>42472</v>
      </c>
      <c r="D2291" s="184" t="s">
        <v>1579</v>
      </c>
      <c r="E2291" s="191">
        <v>42472</v>
      </c>
      <c r="F2291" s="192" t="s">
        <v>1004</v>
      </c>
      <c r="G2291" s="456" t="s">
        <v>540</v>
      </c>
      <c r="H2291" s="7" t="s">
        <v>1581</v>
      </c>
      <c r="I2291" s="256">
        <v>173</v>
      </c>
      <c r="J2291" s="256">
        <v>7927.3542664047691</v>
      </c>
      <c r="K2291" s="38">
        <f t="shared" si="122"/>
        <v>1371432</v>
      </c>
      <c r="L2291" s="566" t="s">
        <v>167</v>
      </c>
      <c r="M2291" s="566" t="s">
        <v>165</v>
      </c>
      <c r="N2291" s="52" t="str">
        <f>IF(AND('331-CT'!$E$7=TH!H2291,OR(L2291="331",M2291="331")),"331",IF(AND(OR(L2291="131",M2291="131"),H2291='131-CT'!$E$7),"131",""))</f>
        <v/>
      </c>
      <c r="O2291" s="857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0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24"/>
        <v>4</v>
      </c>
      <c r="C2292" s="184">
        <f t="shared" si="123"/>
        <v>42472</v>
      </c>
      <c r="D2292" s="184" t="s">
        <v>1579</v>
      </c>
      <c r="E2292" s="191">
        <v>42472</v>
      </c>
      <c r="F2292" s="192" t="s">
        <v>1005</v>
      </c>
      <c r="G2292" s="456" t="s">
        <v>541</v>
      </c>
      <c r="H2292" s="7" t="s">
        <v>1581</v>
      </c>
      <c r="I2292" s="256">
        <v>505</v>
      </c>
      <c r="J2292" s="256">
        <v>5029.1817389019498</v>
      </c>
      <c r="K2292" s="38">
        <f t="shared" si="122"/>
        <v>2539737</v>
      </c>
      <c r="L2292" s="566" t="s">
        <v>167</v>
      </c>
      <c r="M2292" s="566" t="s">
        <v>165</v>
      </c>
      <c r="N2292" s="52" t="str">
        <f>IF(AND('331-CT'!$E$7=TH!H2292,OR(L2292="331",M2292="331")),"331",IF(AND(OR(L2292="131",M2292="131"),H2292='131-CT'!$E$7),"131",""))</f>
        <v/>
      </c>
      <c r="O2292" s="857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0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24"/>
        <v>4</v>
      </c>
      <c r="C2293" s="184">
        <f t="shared" si="123"/>
        <v>42472</v>
      </c>
      <c r="D2293" s="184" t="s">
        <v>1579</v>
      </c>
      <c r="E2293" s="191">
        <v>42472</v>
      </c>
      <c r="F2293" s="192" t="s">
        <v>1006</v>
      </c>
      <c r="G2293" s="456" t="s">
        <v>541</v>
      </c>
      <c r="H2293" s="7" t="s">
        <v>1581</v>
      </c>
      <c r="I2293" s="256">
        <v>988</v>
      </c>
      <c r="J2293" s="256">
        <v>5966.8257919175676</v>
      </c>
      <c r="K2293" s="38">
        <f t="shared" si="122"/>
        <v>5895224</v>
      </c>
      <c r="L2293" s="566" t="s">
        <v>167</v>
      </c>
      <c r="M2293" s="566" t="s">
        <v>165</v>
      </c>
      <c r="N2293" s="52" t="str">
        <f>IF(AND('331-CT'!$E$7=TH!H2293,OR(L2293="331",M2293="331")),"331",IF(AND(OR(L2293="131",M2293="131"),H2293='131-CT'!$E$7),"131",""))</f>
        <v/>
      </c>
      <c r="O2293" s="857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0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24"/>
        <v>4</v>
      </c>
      <c r="C2294" s="184">
        <f t="shared" si="123"/>
        <v>42472</v>
      </c>
      <c r="D2294" s="184" t="s">
        <v>1579</v>
      </c>
      <c r="E2294" s="191">
        <v>42472</v>
      </c>
      <c r="F2294" s="192" t="s">
        <v>660</v>
      </c>
      <c r="G2294" s="456" t="s">
        <v>543</v>
      </c>
      <c r="H2294" s="7" t="s">
        <v>1581</v>
      </c>
      <c r="I2294" s="256">
        <v>735</v>
      </c>
      <c r="J2294" s="256">
        <v>6052.0661603735325</v>
      </c>
      <c r="K2294" s="38">
        <f t="shared" si="122"/>
        <v>4448269</v>
      </c>
      <c r="L2294" s="566" t="s">
        <v>167</v>
      </c>
      <c r="M2294" s="566" t="s">
        <v>165</v>
      </c>
      <c r="N2294" s="52" t="str">
        <f>IF(AND('331-CT'!$E$7=TH!H2294,OR(L2294="331",M2294="331")),"331",IF(AND(OR(L2294="131",M2294="131"),H2294='131-CT'!$E$7),"131",""))</f>
        <v/>
      </c>
      <c r="O2294" s="857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0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24"/>
        <v>4</v>
      </c>
      <c r="C2295" s="184">
        <f t="shared" si="123"/>
        <v>42472</v>
      </c>
      <c r="D2295" s="184" t="s">
        <v>1579</v>
      </c>
      <c r="E2295" s="191">
        <v>42472</v>
      </c>
      <c r="F2295" s="189" t="s">
        <v>448</v>
      </c>
      <c r="G2295" s="456" t="s">
        <v>543</v>
      </c>
      <c r="H2295" s="7" t="s">
        <v>1581</v>
      </c>
      <c r="I2295" s="256">
        <v>194</v>
      </c>
      <c r="J2295" s="256">
        <v>61799.267130574808</v>
      </c>
      <c r="K2295" s="38">
        <f t="shared" si="122"/>
        <v>11989058</v>
      </c>
      <c r="L2295" s="566" t="s">
        <v>167</v>
      </c>
      <c r="M2295" s="566" t="s">
        <v>165</v>
      </c>
      <c r="N2295" s="52" t="str">
        <f>IF(AND('331-CT'!$E$7=TH!H2295,OR(L2295="331",M2295="331")),"331",IF(AND(OR(L2295="131",M2295="131"),H2295='131-CT'!$E$7),"131",""))</f>
        <v/>
      </c>
      <c r="O2295" s="857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0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24"/>
        <v>4</v>
      </c>
      <c r="C2296" s="184">
        <f t="shared" si="123"/>
        <v>42472</v>
      </c>
      <c r="D2296" s="184" t="s">
        <v>1579</v>
      </c>
      <c r="E2296" s="191">
        <v>42472</v>
      </c>
      <c r="F2296" s="189" t="s">
        <v>1007</v>
      </c>
      <c r="G2296" s="456" t="s">
        <v>543</v>
      </c>
      <c r="H2296" s="7" t="s">
        <v>1581</v>
      </c>
      <c r="I2296" s="256">
        <v>20</v>
      </c>
      <c r="J2296" s="256">
        <v>70919.986555363095</v>
      </c>
      <c r="K2296" s="38">
        <f t="shared" si="122"/>
        <v>1418400</v>
      </c>
      <c r="L2296" s="566" t="s">
        <v>167</v>
      </c>
      <c r="M2296" s="566" t="s">
        <v>165</v>
      </c>
      <c r="N2296" s="52" t="str">
        <f>IF(AND('331-CT'!$E$7=TH!H2296,OR(L2296="331",M2296="331")),"331",IF(AND(OR(L2296="131",M2296="131"),H2296='131-CT'!$E$7),"131",""))</f>
        <v/>
      </c>
      <c r="O2296" s="857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0"/>
      <c r="AC2296" s="557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24"/>
        <v>4</v>
      </c>
      <c r="C2297" s="184">
        <f t="shared" si="123"/>
        <v>42473</v>
      </c>
      <c r="D2297" s="184" t="s">
        <v>1579</v>
      </c>
      <c r="E2297" s="191">
        <v>42473</v>
      </c>
      <c r="F2297" s="189" t="s">
        <v>419</v>
      </c>
      <c r="G2297" s="456" t="s">
        <v>544</v>
      </c>
      <c r="H2297" s="7" t="s">
        <v>1581</v>
      </c>
      <c r="I2297" s="256">
        <v>1222</v>
      </c>
      <c r="J2297" s="256">
        <v>6989.7102133891503</v>
      </c>
      <c r="K2297" s="38">
        <f t="shared" si="122"/>
        <v>8541426</v>
      </c>
      <c r="L2297" s="566" t="s">
        <v>167</v>
      </c>
      <c r="M2297" s="566" t="s">
        <v>165</v>
      </c>
      <c r="N2297" s="52" t="str">
        <f>IF(AND('331-CT'!$E$7=TH!H2297,OR(L2297="331",M2297="331")),"331",IF(AND(OR(L2297="131",M2297="131"),H2297='131-CT'!$E$7),"131",""))</f>
        <v/>
      </c>
      <c r="O2297" s="857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0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24"/>
        <v>4</v>
      </c>
      <c r="C2298" s="184">
        <f t="shared" si="123"/>
        <v>42473</v>
      </c>
      <c r="D2298" s="184" t="s">
        <v>1579</v>
      </c>
      <c r="E2298" s="191">
        <v>42473</v>
      </c>
      <c r="F2298" s="189" t="s">
        <v>471</v>
      </c>
      <c r="G2298" s="456" t="s">
        <v>544</v>
      </c>
      <c r="H2298" s="7" t="s">
        <v>1581</v>
      </c>
      <c r="I2298" s="256">
        <v>602</v>
      </c>
      <c r="J2298" s="256">
        <v>13467.978216042511</v>
      </c>
      <c r="K2298" s="38">
        <f t="shared" si="122"/>
        <v>8107723</v>
      </c>
      <c r="L2298" s="566" t="s">
        <v>167</v>
      </c>
      <c r="M2298" s="566" t="s">
        <v>165</v>
      </c>
      <c r="N2298" s="52" t="str">
        <f>IF(AND('331-CT'!$E$7=TH!H2298,OR(L2298="331",M2298="331")),"331",IF(AND(OR(L2298="131",M2298="131"),H2298='131-CT'!$E$7),"131",""))</f>
        <v/>
      </c>
      <c r="O2298" s="857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0"/>
      <c r="AC2298" s="557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24"/>
        <v>4</v>
      </c>
      <c r="C2299" s="184">
        <f t="shared" si="123"/>
        <v>42475</v>
      </c>
      <c r="D2299" s="184" t="s">
        <v>1579</v>
      </c>
      <c r="E2299" s="191">
        <v>42475</v>
      </c>
      <c r="F2299" s="189" t="s">
        <v>448</v>
      </c>
      <c r="G2299" s="456" t="s">
        <v>1008</v>
      </c>
      <c r="H2299" s="7" t="s">
        <v>1581</v>
      </c>
      <c r="I2299" s="256">
        <v>295</v>
      </c>
      <c r="J2299" s="256">
        <v>61799.267130574808</v>
      </c>
      <c r="K2299" s="38">
        <f t="shared" si="122"/>
        <v>18230784</v>
      </c>
      <c r="L2299" s="566" t="s">
        <v>167</v>
      </c>
      <c r="M2299" s="566" t="s">
        <v>165</v>
      </c>
      <c r="N2299" s="52" t="str">
        <f>IF(AND('331-CT'!$E$7=TH!H2299,OR(L2299="331",M2299="331")),"331",IF(AND(OR(L2299="131",M2299="131"),H2299='131-CT'!$E$7),"131",""))</f>
        <v/>
      </c>
      <c r="O2299" s="857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0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24"/>
        <v>4</v>
      </c>
      <c r="C2300" s="184">
        <f t="shared" si="123"/>
        <v>42475</v>
      </c>
      <c r="D2300" s="184" t="s">
        <v>1579</v>
      </c>
      <c r="E2300" s="191">
        <v>42475</v>
      </c>
      <c r="F2300" s="189" t="s">
        <v>1009</v>
      </c>
      <c r="G2300" s="456" t="s">
        <v>1008</v>
      </c>
      <c r="H2300" s="7" t="s">
        <v>1581</v>
      </c>
      <c r="I2300" s="256">
        <v>41</v>
      </c>
      <c r="J2300" s="256">
        <v>69044.69844933186</v>
      </c>
      <c r="K2300" s="38">
        <f t="shared" si="122"/>
        <v>2830833</v>
      </c>
      <c r="L2300" s="566" t="s">
        <v>167</v>
      </c>
      <c r="M2300" s="566" t="s">
        <v>165</v>
      </c>
      <c r="N2300" s="52" t="str">
        <f>IF(AND('331-CT'!$E$7=TH!H2300,OR(L2300="331",M2300="331")),"331",IF(AND(OR(L2300="131",M2300="131"),H2300='131-CT'!$E$7),"131",""))</f>
        <v/>
      </c>
      <c r="O2300" s="857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0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24"/>
        <v>4</v>
      </c>
      <c r="C2301" s="184">
        <f t="shared" si="123"/>
        <v>42475</v>
      </c>
      <c r="D2301" s="184" t="s">
        <v>1579</v>
      </c>
      <c r="E2301" s="191">
        <v>42475</v>
      </c>
      <c r="F2301" s="189" t="s">
        <v>441</v>
      </c>
      <c r="G2301" s="456" t="s">
        <v>549</v>
      </c>
      <c r="H2301" s="7" t="s">
        <v>1581</v>
      </c>
      <c r="I2301" s="256">
        <v>991</v>
      </c>
      <c r="J2301" s="256">
        <v>4347.2587912542276</v>
      </c>
      <c r="K2301" s="38">
        <f t="shared" si="122"/>
        <v>4308133</v>
      </c>
      <c r="L2301" s="566" t="s">
        <v>167</v>
      </c>
      <c r="M2301" s="566" t="s">
        <v>165</v>
      </c>
      <c r="N2301" s="52" t="str">
        <f>IF(AND('331-CT'!$E$7=TH!H2301,OR(L2301="331",M2301="331")),"331",IF(AND(OR(L2301="131",M2301="131"),H2301='131-CT'!$E$7),"131",""))</f>
        <v/>
      </c>
      <c r="O2301" s="857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0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24"/>
        <v>4</v>
      </c>
      <c r="C2302" s="184">
        <f t="shared" si="123"/>
        <v>42475</v>
      </c>
      <c r="D2302" s="184" t="s">
        <v>1579</v>
      </c>
      <c r="E2302" s="191">
        <v>42475</v>
      </c>
      <c r="F2302" s="189" t="s">
        <v>637</v>
      </c>
      <c r="G2302" s="456" t="s">
        <v>549</v>
      </c>
      <c r="H2302" s="7" t="s">
        <v>1581</v>
      </c>
      <c r="I2302" s="256">
        <v>105</v>
      </c>
      <c r="J2302" s="256">
        <v>20798.649903255522</v>
      </c>
      <c r="K2302" s="38">
        <f t="shared" si="122"/>
        <v>2183858</v>
      </c>
      <c r="L2302" s="566" t="s">
        <v>167</v>
      </c>
      <c r="M2302" s="566" t="s">
        <v>165</v>
      </c>
      <c r="N2302" s="52" t="str">
        <f>IF(AND('331-CT'!$E$7=TH!H2302,OR(L2302="331",M2302="331")),"331",IF(AND(OR(L2302="131",M2302="131"),H2302='131-CT'!$E$7),"131",""))</f>
        <v/>
      </c>
      <c r="O2302" s="857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0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24"/>
        <v>4</v>
      </c>
      <c r="C2303" s="184">
        <f t="shared" si="123"/>
        <v>42475</v>
      </c>
      <c r="D2303" s="184" t="s">
        <v>1579</v>
      </c>
      <c r="E2303" s="191">
        <v>42475</v>
      </c>
      <c r="F2303" s="189" t="s">
        <v>1010</v>
      </c>
      <c r="G2303" s="456" t="s">
        <v>549</v>
      </c>
      <c r="H2303" s="7" t="s">
        <v>1581</v>
      </c>
      <c r="I2303" s="256">
        <v>209</v>
      </c>
      <c r="J2303" s="256">
        <v>4262.0184227982627</v>
      </c>
      <c r="K2303" s="38">
        <f t="shared" si="122"/>
        <v>890762</v>
      </c>
      <c r="L2303" s="566" t="s">
        <v>167</v>
      </c>
      <c r="M2303" s="566" t="s">
        <v>165</v>
      </c>
      <c r="N2303" s="52" t="str">
        <f>IF(AND('331-CT'!$E$7=TH!H2303,OR(L2303="331",M2303="331")),"331",IF(AND(OR(L2303="131",M2303="131"),H2303='131-CT'!$E$7),"131",""))</f>
        <v/>
      </c>
      <c r="O2303" s="857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0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24"/>
        <v>4</v>
      </c>
      <c r="C2304" s="184">
        <f t="shared" si="123"/>
        <v>42478</v>
      </c>
      <c r="D2304" s="184" t="s">
        <v>1579</v>
      </c>
      <c r="E2304" s="191">
        <v>42478</v>
      </c>
      <c r="F2304" s="189" t="s">
        <v>466</v>
      </c>
      <c r="G2304" s="456" t="s">
        <v>550</v>
      </c>
      <c r="H2304" s="7" t="s">
        <v>1581</v>
      </c>
      <c r="I2304" s="256">
        <v>566</v>
      </c>
      <c r="J2304" s="256">
        <v>5796.3450550056377</v>
      </c>
      <c r="K2304" s="38">
        <f t="shared" si="122"/>
        <v>3280731</v>
      </c>
      <c r="L2304" s="566" t="s">
        <v>167</v>
      </c>
      <c r="M2304" s="566" t="s">
        <v>165</v>
      </c>
      <c r="N2304" s="52" t="str">
        <f>IF(AND('331-CT'!$E$7=TH!H2304,OR(L2304="331",M2304="331")),"331",IF(AND(OR(L2304="131",M2304="131"),H2304='131-CT'!$E$7),"131",""))</f>
        <v/>
      </c>
      <c r="O2304" s="857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0"/>
    </row>
    <row r="2305" spans="1:29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24"/>
        <v>4</v>
      </c>
      <c r="C2305" s="184">
        <f t="shared" si="123"/>
        <v>42478</v>
      </c>
      <c r="D2305" s="184" t="s">
        <v>1579</v>
      </c>
      <c r="E2305" s="191">
        <v>42478</v>
      </c>
      <c r="F2305" s="189" t="s">
        <v>579</v>
      </c>
      <c r="G2305" s="456" t="s">
        <v>551</v>
      </c>
      <c r="H2305" s="7" t="s">
        <v>1581</v>
      </c>
      <c r="I2305" s="256">
        <v>151</v>
      </c>
      <c r="J2305" s="256">
        <v>11848.41121537917</v>
      </c>
      <c r="K2305" s="38">
        <f t="shared" si="122"/>
        <v>1789110</v>
      </c>
      <c r="L2305" s="566" t="s">
        <v>167</v>
      </c>
      <c r="M2305" s="566" t="s">
        <v>165</v>
      </c>
      <c r="N2305" s="52" t="str">
        <f>IF(AND('331-CT'!$E$7=TH!H2305,OR(L2305="331",M2305="331")),"331",IF(AND(OR(L2305="131",M2305="131"),H2305='131-CT'!$E$7),"131",""))</f>
        <v/>
      </c>
      <c r="O2305" s="857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0"/>
    </row>
    <row r="2306" spans="1:29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24"/>
        <v>4</v>
      </c>
      <c r="C2306" s="184">
        <f t="shared" si="123"/>
        <v>42479</v>
      </c>
      <c r="D2306" s="184" t="s">
        <v>1579</v>
      </c>
      <c r="E2306" s="191">
        <v>42479</v>
      </c>
      <c r="F2306" s="189" t="s">
        <v>681</v>
      </c>
      <c r="G2306" s="456" t="s">
        <v>552</v>
      </c>
      <c r="H2306" s="7" t="s">
        <v>1581</v>
      </c>
      <c r="I2306" s="256">
        <v>303</v>
      </c>
      <c r="J2306" s="256">
        <v>7160.1909503010811</v>
      </c>
      <c r="K2306" s="38">
        <f t="shared" si="122"/>
        <v>2169538</v>
      </c>
      <c r="L2306" s="566" t="s">
        <v>167</v>
      </c>
      <c r="M2306" s="566" t="s">
        <v>165</v>
      </c>
      <c r="N2306" s="52" t="str">
        <f>IF(AND('331-CT'!$E$7=TH!H2306,OR(L2306="331",M2306="331")),"331",IF(AND(OR(L2306="131",M2306="131"),H2306='131-CT'!$E$7),"131",""))</f>
        <v/>
      </c>
      <c r="O2306" s="857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790"/>
    </row>
    <row r="2307" spans="1:29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24"/>
        <v>4</v>
      </c>
      <c r="C2307" s="184">
        <f t="shared" si="123"/>
        <v>42479</v>
      </c>
      <c r="D2307" s="184" t="s">
        <v>1579</v>
      </c>
      <c r="E2307" s="191">
        <v>42479</v>
      </c>
      <c r="F2307" s="189" t="s">
        <v>570</v>
      </c>
      <c r="G2307" s="456" t="s">
        <v>552</v>
      </c>
      <c r="H2307" s="7" t="s">
        <v>1581</v>
      </c>
      <c r="I2307" s="256">
        <v>318</v>
      </c>
      <c r="J2307" s="256">
        <v>8268.3157402286288</v>
      </c>
      <c r="K2307" s="38">
        <f t="shared" si="122"/>
        <v>2629324</v>
      </c>
      <c r="L2307" s="566" t="s">
        <v>167</v>
      </c>
      <c r="M2307" s="566" t="s">
        <v>165</v>
      </c>
      <c r="N2307" s="52" t="str">
        <f>IF(AND('331-CT'!$E$7=TH!H2307,OR(L2307="331",M2307="331")),"331",IF(AND(OR(L2307="131",M2307="131"),H2307='131-CT'!$E$7),"131",""))</f>
        <v/>
      </c>
      <c r="O2307" s="857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0"/>
    </row>
    <row r="2308" spans="1:29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24"/>
        <v>4</v>
      </c>
      <c r="C2308" s="184">
        <f t="shared" si="123"/>
        <v>42479</v>
      </c>
      <c r="D2308" s="184" t="s">
        <v>1579</v>
      </c>
      <c r="E2308" s="191">
        <v>42479</v>
      </c>
      <c r="F2308" s="189" t="s">
        <v>657</v>
      </c>
      <c r="G2308" s="456" t="s">
        <v>1012</v>
      </c>
      <c r="H2308" s="7" t="s">
        <v>1581</v>
      </c>
      <c r="I2308" s="256">
        <v>518</v>
      </c>
      <c r="J2308" s="256">
        <v>6393.027634197394</v>
      </c>
      <c r="K2308" s="38">
        <f t="shared" si="122"/>
        <v>3311588</v>
      </c>
      <c r="L2308" s="566" t="s">
        <v>167</v>
      </c>
      <c r="M2308" s="566" t="s">
        <v>165</v>
      </c>
      <c r="N2308" s="52" t="str">
        <f>IF(AND('331-CT'!$E$7=TH!H2308,OR(L2308="331",M2308="331")),"331",IF(AND(OR(L2308="131",M2308="131"),H2308='131-CT'!$E$7),"131",""))</f>
        <v/>
      </c>
      <c r="O2308" s="857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0"/>
    </row>
    <row r="2309" spans="1:29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24"/>
        <v>4</v>
      </c>
      <c r="C2309" s="184">
        <f t="shared" si="123"/>
        <v>42479</v>
      </c>
      <c r="D2309" s="184" t="s">
        <v>1579</v>
      </c>
      <c r="E2309" s="191">
        <v>42479</v>
      </c>
      <c r="F2309" s="189" t="s">
        <v>1474</v>
      </c>
      <c r="G2309" s="456" t="s">
        <v>1012</v>
      </c>
      <c r="H2309" s="7" t="s">
        <v>1581</v>
      </c>
      <c r="I2309" s="256">
        <v>540</v>
      </c>
      <c r="J2309" s="256">
        <v>8097.8350033166989</v>
      </c>
      <c r="K2309" s="38">
        <f t="shared" si="122"/>
        <v>4372831</v>
      </c>
      <c r="L2309" s="566" t="s">
        <v>167</v>
      </c>
      <c r="M2309" s="566" t="s">
        <v>165</v>
      </c>
      <c r="N2309" s="52" t="str">
        <f>IF(AND('331-CT'!$E$7=TH!H2309,OR(L2309="331",M2309="331")),"331",IF(AND(OR(L2309="131",M2309="131"),H2309='131-CT'!$E$7),"131",""))</f>
        <v/>
      </c>
      <c r="O2309" s="857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0"/>
    </row>
    <row r="2310" spans="1:29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24"/>
        <v>4</v>
      </c>
      <c r="C2310" s="184">
        <f t="shared" si="123"/>
        <v>42479</v>
      </c>
      <c r="D2310" s="184" t="s">
        <v>1579</v>
      </c>
      <c r="E2310" s="191">
        <v>42479</v>
      </c>
      <c r="F2310" s="189" t="s">
        <v>430</v>
      </c>
      <c r="G2310" s="456" t="s">
        <v>1012</v>
      </c>
      <c r="H2310" s="7" t="s">
        <v>1581</v>
      </c>
      <c r="I2310" s="256">
        <v>200</v>
      </c>
      <c r="J2310" s="256">
        <v>8097.8350033166989</v>
      </c>
      <c r="K2310" s="38">
        <f t="shared" si="122"/>
        <v>1619567</v>
      </c>
      <c r="L2310" s="566" t="s">
        <v>167</v>
      </c>
      <c r="M2310" s="566" t="s">
        <v>165</v>
      </c>
      <c r="N2310" s="52" t="str">
        <f>IF(AND('331-CT'!$E$7=TH!H2310,OR(L2310="331",M2310="331")),"331",IF(AND(OR(L2310="131",M2310="131"),H2310='131-CT'!$E$7),"131",""))</f>
        <v/>
      </c>
      <c r="O2310" s="857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0"/>
    </row>
    <row r="2311" spans="1:29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24"/>
        <v>4</v>
      </c>
      <c r="C2311" s="184">
        <f t="shared" si="123"/>
        <v>42481</v>
      </c>
      <c r="D2311" s="184" t="s">
        <v>1579</v>
      </c>
      <c r="E2311" s="191">
        <v>42481</v>
      </c>
      <c r="F2311" s="189" t="s">
        <v>1013</v>
      </c>
      <c r="G2311" s="456" t="s">
        <v>722</v>
      </c>
      <c r="H2311" s="7" t="s">
        <v>1581</v>
      </c>
      <c r="I2311" s="256">
        <v>60</v>
      </c>
      <c r="J2311" s="256">
        <v>23100.139851566582</v>
      </c>
      <c r="K2311" s="38">
        <f t="shared" si="122"/>
        <v>1386008</v>
      </c>
      <c r="L2311" s="566" t="s">
        <v>167</v>
      </c>
      <c r="M2311" s="566" t="s">
        <v>165</v>
      </c>
      <c r="N2311" s="52" t="str">
        <f>IF(AND('331-CT'!$E$7=TH!H2311,OR(L2311="331",M2311="331")),"331",IF(AND(OR(L2311="131",M2311="131"),H2311='131-CT'!$E$7),"131",""))</f>
        <v/>
      </c>
      <c r="O2311" s="857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0"/>
    </row>
    <row r="2312" spans="1:29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24"/>
        <v>4</v>
      </c>
      <c r="C2312" s="184">
        <f t="shared" si="123"/>
        <v>42481</v>
      </c>
      <c r="D2312" s="184" t="s">
        <v>1579</v>
      </c>
      <c r="E2312" s="191">
        <v>42481</v>
      </c>
      <c r="F2312" s="189" t="s">
        <v>1014</v>
      </c>
      <c r="G2312" s="456" t="s">
        <v>722</v>
      </c>
      <c r="H2312" s="7" t="s">
        <v>1581</v>
      </c>
      <c r="I2312" s="256">
        <v>60</v>
      </c>
      <c r="J2312" s="256">
        <v>26083.552747525369</v>
      </c>
      <c r="K2312" s="38">
        <f t="shared" si="122"/>
        <v>1565013</v>
      </c>
      <c r="L2312" s="566" t="s">
        <v>167</v>
      </c>
      <c r="M2312" s="566" t="s">
        <v>165</v>
      </c>
      <c r="N2312" s="52" t="str">
        <f>IF(AND('331-CT'!$E$7=TH!H2312,OR(L2312="331",M2312="331")),"331",IF(AND(OR(L2312="131",M2312="131"),H2312='131-CT'!$E$7),"131",""))</f>
        <v/>
      </c>
      <c r="O2312" s="857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0"/>
    </row>
    <row r="2313" spans="1:29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24"/>
        <v>4</v>
      </c>
      <c r="C2313" s="184">
        <f t="shared" si="123"/>
        <v>42482</v>
      </c>
      <c r="D2313" s="184" t="s">
        <v>1579</v>
      </c>
      <c r="E2313" s="191">
        <v>42482</v>
      </c>
      <c r="F2313" s="189" t="s">
        <v>507</v>
      </c>
      <c r="G2313" s="456" t="s">
        <v>553</v>
      </c>
      <c r="H2313" s="7" t="s">
        <v>1581</v>
      </c>
      <c r="I2313" s="256">
        <v>208</v>
      </c>
      <c r="J2313" s="256">
        <v>7927.3542664047691</v>
      </c>
      <c r="K2313" s="38">
        <f t="shared" si="122"/>
        <v>1648890</v>
      </c>
      <c r="L2313" s="566" t="s">
        <v>167</v>
      </c>
      <c r="M2313" s="566" t="s">
        <v>165</v>
      </c>
      <c r="N2313" s="52" t="str">
        <f>IF(AND('331-CT'!$E$7=TH!H2313,OR(L2313="331",M2313="331")),"331",IF(AND(OR(L2313="131",M2313="131"),H2313='131-CT'!$E$7),"131",""))</f>
        <v/>
      </c>
      <c r="O2313" s="857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0"/>
      <c r="AC2313" s="557"/>
    </row>
    <row r="2314" spans="1:29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24"/>
        <v>4</v>
      </c>
      <c r="C2314" s="184">
        <f t="shared" si="123"/>
        <v>42483</v>
      </c>
      <c r="D2314" s="184" t="s">
        <v>1579</v>
      </c>
      <c r="E2314" s="191">
        <v>42483</v>
      </c>
      <c r="F2314" s="189" t="s">
        <v>675</v>
      </c>
      <c r="G2314" s="456" t="s">
        <v>556</v>
      </c>
      <c r="H2314" s="7" t="s">
        <v>1581</v>
      </c>
      <c r="I2314" s="256">
        <v>100</v>
      </c>
      <c r="J2314" s="256">
        <v>9717.402003980038</v>
      </c>
      <c r="K2314" s="38">
        <f t="shared" si="122"/>
        <v>971740</v>
      </c>
      <c r="L2314" s="566" t="s">
        <v>167</v>
      </c>
      <c r="M2314" s="566" t="s">
        <v>165</v>
      </c>
      <c r="N2314" s="52" t="str">
        <f>IF(AND('331-CT'!$E$7=TH!H2314,OR(L2314="331",M2314="331")),"331",IF(AND(OR(L2314="131",M2314="131"),H2314='131-CT'!$E$7),"131",""))</f>
        <v/>
      </c>
      <c r="O2314" s="857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0"/>
    </row>
    <row r="2315" spans="1:29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24"/>
        <v>4</v>
      </c>
      <c r="C2315" s="184">
        <f t="shared" si="123"/>
        <v>42483</v>
      </c>
      <c r="D2315" s="184" t="s">
        <v>1579</v>
      </c>
      <c r="E2315" s="191">
        <v>42483</v>
      </c>
      <c r="F2315" s="189" t="s">
        <v>723</v>
      </c>
      <c r="G2315" s="456" t="s">
        <v>556</v>
      </c>
      <c r="H2315" s="7" t="s">
        <v>1581</v>
      </c>
      <c r="I2315" s="256">
        <v>200</v>
      </c>
      <c r="J2315" s="256">
        <v>767.16331610368729</v>
      </c>
      <c r="K2315" s="38">
        <f t="shared" si="122"/>
        <v>153433</v>
      </c>
      <c r="L2315" s="566" t="s">
        <v>167</v>
      </c>
      <c r="M2315" s="566" t="s">
        <v>165</v>
      </c>
      <c r="N2315" s="52" t="str">
        <f>IF(AND('331-CT'!$E$7=TH!H2315,OR(L2315="331",M2315="331")),"331",IF(AND(OR(L2315="131",M2315="131"),H2315='131-CT'!$E$7),"131",""))</f>
        <v/>
      </c>
      <c r="O2315" s="857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0"/>
    </row>
    <row r="2316" spans="1:29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24"/>
        <v>4</v>
      </c>
      <c r="C2316" s="184">
        <f t="shared" si="123"/>
        <v>42485</v>
      </c>
      <c r="D2316" s="184" t="s">
        <v>1579</v>
      </c>
      <c r="E2316" s="191">
        <v>42485</v>
      </c>
      <c r="F2316" s="189" t="s">
        <v>1015</v>
      </c>
      <c r="G2316" s="456" t="s">
        <v>558</v>
      </c>
      <c r="H2316" s="7" t="s">
        <v>1581</v>
      </c>
      <c r="I2316" s="256">
        <v>420</v>
      </c>
      <c r="J2316" s="256">
        <v>11507.449741555311</v>
      </c>
      <c r="K2316" s="38">
        <f t="shared" si="122"/>
        <v>4833129</v>
      </c>
      <c r="L2316" s="566" t="s">
        <v>167</v>
      </c>
      <c r="M2316" s="566" t="s">
        <v>165</v>
      </c>
      <c r="N2316" s="52" t="str">
        <f>IF(AND('331-CT'!$E$7=TH!H2316,OR(L2316="331",M2316="331")),"331",IF(AND(OR(L2316="131",M2316="131"),H2316='131-CT'!$E$7),"131",""))</f>
        <v/>
      </c>
      <c r="O2316" s="857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0"/>
    </row>
    <row r="2317" spans="1:29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24"/>
        <v>4</v>
      </c>
      <c r="C2317" s="184">
        <f t="shared" si="123"/>
        <v>42485</v>
      </c>
      <c r="D2317" s="184" t="s">
        <v>1579</v>
      </c>
      <c r="E2317" s="191">
        <v>42485</v>
      </c>
      <c r="F2317" s="189" t="s">
        <v>510</v>
      </c>
      <c r="G2317" s="456" t="s">
        <v>558</v>
      </c>
      <c r="H2317" s="7" t="s">
        <v>1581</v>
      </c>
      <c r="I2317" s="256">
        <v>371</v>
      </c>
      <c r="J2317" s="256">
        <v>10825.526793907587</v>
      </c>
      <c r="K2317" s="38">
        <f t="shared" si="122"/>
        <v>4016270</v>
      </c>
      <c r="L2317" s="566" t="s">
        <v>167</v>
      </c>
      <c r="M2317" s="566" t="s">
        <v>165</v>
      </c>
      <c r="N2317" s="52" t="str">
        <f>IF(AND('331-CT'!$E$7=TH!H2317,OR(L2317="331",M2317="331")),"331",IF(AND(OR(L2317="131",M2317="131"),H2317='131-CT'!$E$7),"131",""))</f>
        <v/>
      </c>
      <c r="O2317" s="857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0"/>
    </row>
    <row r="2318" spans="1:29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24"/>
        <v>4</v>
      </c>
      <c r="C2318" s="184">
        <f t="shared" si="123"/>
        <v>42485</v>
      </c>
      <c r="D2318" s="184" t="s">
        <v>1579</v>
      </c>
      <c r="E2318" s="191">
        <v>42485</v>
      </c>
      <c r="F2318" s="189" t="s">
        <v>510</v>
      </c>
      <c r="G2318" s="456" t="s">
        <v>558</v>
      </c>
      <c r="H2318" s="7" t="s">
        <v>1581</v>
      </c>
      <c r="I2318" s="256">
        <v>205</v>
      </c>
      <c r="J2318" s="256">
        <v>10825.526793907587</v>
      </c>
      <c r="K2318" s="38">
        <f t="shared" si="122"/>
        <v>2219233</v>
      </c>
      <c r="L2318" s="566" t="s">
        <v>167</v>
      </c>
      <c r="M2318" s="566" t="s">
        <v>165</v>
      </c>
      <c r="N2318" s="52" t="str">
        <f>IF(AND('331-CT'!$E$7=TH!H2318,OR(L2318="331",M2318="331")),"331",IF(AND(OR(L2318="131",M2318="131"),H2318='131-CT'!$E$7),"131",""))</f>
        <v/>
      </c>
      <c r="O2318" s="857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0"/>
    </row>
    <row r="2319" spans="1:29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24"/>
        <v>4</v>
      </c>
      <c r="C2319" s="184">
        <f t="shared" si="123"/>
        <v>42485</v>
      </c>
      <c r="D2319" s="184" t="s">
        <v>1579</v>
      </c>
      <c r="E2319" s="191">
        <v>42485</v>
      </c>
      <c r="F2319" s="189" t="s">
        <v>1016</v>
      </c>
      <c r="G2319" s="456" t="s">
        <v>559</v>
      </c>
      <c r="H2319" s="7" t="s">
        <v>1581</v>
      </c>
      <c r="I2319" s="256">
        <v>220</v>
      </c>
      <c r="J2319" s="256">
        <v>11507.449741555311</v>
      </c>
      <c r="K2319" s="38">
        <f t="shared" si="122"/>
        <v>2531639</v>
      </c>
      <c r="L2319" s="566" t="s">
        <v>167</v>
      </c>
      <c r="M2319" s="566" t="s">
        <v>165</v>
      </c>
      <c r="N2319" s="52" t="str">
        <f>IF(AND('331-CT'!$E$7=TH!H2319,OR(L2319="331",M2319="331")),"331",IF(AND(OR(L2319="131",M2319="131"),H2319='131-CT'!$E$7),"131",""))</f>
        <v/>
      </c>
      <c r="O2319" s="857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0"/>
    </row>
    <row r="2320" spans="1:29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24"/>
        <v>4</v>
      </c>
      <c r="C2320" s="184">
        <f t="shared" si="123"/>
        <v>42485</v>
      </c>
      <c r="D2320" s="184" t="s">
        <v>1579</v>
      </c>
      <c r="E2320" s="191">
        <v>42485</v>
      </c>
      <c r="F2320" s="189" t="s">
        <v>965</v>
      </c>
      <c r="G2320" s="456" t="s">
        <v>559</v>
      </c>
      <c r="H2320" s="7" t="s">
        <v>1581</v>
      </c>
      <c r="I2320" s="256">
        <v>210</v>
      </c>
      <c r="J2320" s="256">
        <v>11763.170846923203</v>
      </c>
      <c r="K2320" s="38">
        <f t="shared" si="122"/>
        <v>2470266</v>
      </c>
      <c r="L2320" s="566" t="s">
        <v>167</v>
      </c>
      <c r="M2320" s="566" t="s">
        <v>165</v>
      </c>
      <c r="N2320" s="52" t="str">
        <f>IF(AND('331-CT'!$E$7=TH!H2320,OR(L2320="331",M2320="331")),"331",IF(AND(OR(L2320="131",M2320="131"),H2320='131-CT'!$E$7),"131",""))</f>
        <v/>
      </c>
      <c r="O2320" s="857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0"/>
    </row>
    <row r="2321" spans="1:29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24"/>
        <v>4</v>
      </c>
      <c r="C2321" s="184">
        <f t="shared" si="123"/>
        <v>42485</v>
      </c>
      <c r="D2321" s="184" t="s">
        <v>1579</v>
      </c>
      <c r="E2321" s="191">
        <v>42485</v>
      </c>
      <c r="F2321" s="189" t="s">
        <v>510</v>
      </c>
      <c r="G2321" s="456" t="s">
        <v>559</v>
      </c>
      <c r="H2321" s="7" t="s">
        <v>1581</v>
      </c>
      <c r="I2321" s="256">
        <v>645</v>
      </c>
      <c r="J2321" s="256">
        <v>10825.526793907587</v>
      </c>
      <c r="K2321" s="38">
        <f t="shared" si="122"/>
        <v>6982465</v>
      </c>
      <c r="L2321" s="566" t="s">
        <v>167</v>
      </c>
      <c r="M2321" s="566" t="s">
        <v>165</v>
      </c>
      <c r="N2321" s="52" t="str">
        <f>IF(AND('331-CT'!$E$7=TH!H2321,OR(L2321="331",M2321="331")),"331",IF(AND(OR(L2321="131",M2321="131"),H2321='131-CT'!$E$7),"131",""))</f>
        <v/>
      </c>
      <c r="O2321" s="857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0"/>
      <c r="AC2321" s="557"/>
    </row>
    <row r="2322" spans="1:29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24"/>
        <v>4</v>
      </c>
      <c r="C2322" s="184">
        <f t="shared" si="123"/>
        <v>42485</v>
      </c>
      <c r="D2322" s="184" t="s">
        <v>1579</v>
      </c>
      <c r="E2322" s="191">
        <v>42485</v>
      </c>
      <c r="F2322" s="189" t="s">
        <v>1017</v>
      </c>
      <c r="G2322" s="456" t="s">
        <v>559</v>
      </c>
      <c r="H2322" s="7" t="s">
        <v>1581</v>
      </c>
      <c r="I2322" s="256">
        <v>210</v>
      </c>
      <c r="J2322" s="256">
        <v>11848.41121537917</v>
      </c>
      <c r="K2322" s="38">
        <f t="shared" si="122"/>
        <v>2488166</v>
      </c>
      <c r="L2322" s="566" t="s">
        <v>167</v>
      </c>
      <c r="M2322" s="566" t="s">
        <v>165</v>
      </c>
      <c r="N2322" s="52" t="str">
        <f>IF(AND('331-CT'!$E$7=TH!H2322,OR(L2322="331",M2322="331")),"331",IF(AND(OR(L2322="131",M2322="131"),H2322='131-CT'!$E$7),"131",""))</f>
        <v/>
      </c>
      <c r="O2322" s="857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0"/>
    </row>
    <row r="2323" spans="1:29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24"/>
        <v>4</v>
      </c>
      <c r="C2323" s="184">
        <f t="shared" si="123"/>
        <v>42486</v>
      </c>
      <c r="D2323" s="184" t="s">
        <v>1579</v>
      </c>
      <c r="E2323" s="191">
        <v>42486</v>
      </c>
      <c r="F2323" s="189" t="s">
        <v>1018</v>
      </c>
      <c r="G2323" s="456" t="s">
        <v>564</v>
      </c>
      <c r="H2323" s="7" t="s">
        <v>1581</v>
      </c>
      <c r="I2323" s="256">
        <v>105</v>
      </c>
      <c r="J2323" s="256">
        <v>10228.844214715829</v>
      </c>
      <c r="K2323" s="38">
        <f t="shared" ref="K2323:K2386" si="125">ROUND(I2323*J2323,0)</f>
        <v>1074029</v>
      </c>
      <c r="L2323" s="566" t="s">
        <v>167</v>
      </c>
      <c r="M2323" s="566" t="s">
        <v>165</v>
      </c>
      <c r="N2323" s="52" t="str">
        <f>IF(AND('331-CT'!$E$7=TH!H2323,OR(L2323="331",M2323="331")),"331",IF(AND(OR(L2323="131",M2323="131"),H2323='131-CT'!$E$7),"131",""))</f>
        <v/>
      </c>
      <c r="O2323" s="857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0"/>
    </row>
    <row r="2324" spans="1:29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24"/>
        <v>4</v>
      </c>
      <c r="C2324" s="184">
        <f t="shared" si="123"/>
        <v>42486</v>
      </c>
      <c r="D2324" s="184" t="s">
        <v>1579</v>
      </c>
      <c r="E2324" s="191">
        <v>42486</v>
      </c>
      <c r="F2324" s="189" t="s">
        <v>438</v>
      </c>
      <c r="G2324" s="456" t="s">
        <v>564</v>
      </c>
      <c r="H2324" s="7" t="s">
        <v>1581</v>
      </c>
      <c r="I2324" s="256">
        <v>125</v>
      </c>
      <c r="J2324" s="256">
        <v>10825.526793907587</v>
      </c>
      <c r="K2324" s="38">
        <f t="shared" si="125"/>
        <v>1353191</v>
      </c>
      <c r="L2324" s="566" t="s">
        <v>167</v>
      </c>
      <c r="M2324" s="566" t="s">
        <v>165</v>
      </c>
      <c r="N2324" s="52" t="str">
        <f>IF(AND('331-CT'!$E$7=TH!H2324,OR(L2324="331",M2324="331")),"331",IF(AND(OR(L2324="131",M2324="131"),H2324='131-CT'!$E$7),"131",""))</f>
        <v/>
      </c>
      <c r="O2324" s="857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0"/>
      <c r="AC2324" s="557"/>
    </row>
    <row r="2325" spans="1:29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24"/>
        <v>4</v>
      </c>
      <c r="C2325" s="184">
        <f t="shared" si="123"/>
        <v>42486</v>
      </c>
      <c r="D2325" s="184" t="s">
        <v>1579</v>
      </c>
      <c r="E2325" s="191">
        <v>42486</v>
      </c>
      <c r="F2325" s="189" t="s">
        <v>510</v>
      </c>
      <c r="G2325" s="456" t="s">
        <v>564</v>
      </c>
      <c r="H2325" s="7" t="s">
        <v>1581</v>
      </c>
      <c r="I2325" s="256">
        <v>644</v>
      </c>
      <c r="J2325" s="256">
        <v>10825.526793907587</v>
      </c>
      <c r="K2325" s="38">
        <f t="shared" si="125"/>
        <v>6971639</v>
      </c>
      <c r="L2325" s="566" t="s">
        <v>167</v>
      </c>
      <c r="M2325" s="566" t="s">
        <v>165</v>
      </c>
      <c r="N2325" s="52" t="str">
        <f>IF(AND('331-CT'!$E$7=TH!H2325,OR(L2325="331",M2325="331")),"331",IF(AND(OR(L2325="131",M2325="131"),H2325='131-CT'!$E$7),"131",""))</f>
        <v/>
      </c>
      <c r="O2325" s="857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0"/>
    </row>
    <row r="2326" spans="1:29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24"/>
        <v>4</v>
      </c>
      <c r="C2326" s="184">
        <f t="shared" si="123"/>
        <v>42486</v>
      </c>
      <c r="D2326" s="184" t="s">
        <v>1579</v>
      </c>
      <c r="E2326" s="191">
        <v>42486</v>
      </c>
      <c r="F2326" s="189" t="s">
        <v>1019</v>
      </c>
      <c r="G2326" s="456" t="s">
        <v>565</v>
      </c>
      <c r="H2326" s="7" t="s">
        <v>1581</v>
      </c>
      <c r="I2326" s="256">
        <v>514</v>
      </c>
      <c r="J2326" s="256">
        <v>7330.6716872130119</v>
      </c>
      <c r="K2326" s="38">
        <f t="shared" si="125"/>
        <v>3767965</v>
      </c>
      <c r="L2326" s="566" t="s">
        <v>167</v>
      </c>
      <c r="M2326" s="566" t="s">
        <v>165</v>
      </c>
      <c r="N2326" s="52" t="str">
        <f>IF(AND('331-CT'!$E$7=TH!H2326,OR(L2326="331",M2326="331")),"331",IF(AND(OR(L2326="131",M2326="131"),H2326='131-CT'!$E$7),"131",""))</f>
        <v/>
      </c>
      <c r="O2326" s="857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0"/>
    </row>
    <row r="2327" spans="1:29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24"/>
        <v>4</v>
      </c>
      <c r="C2327" s="184">
        <f t="shared" si="123"/>
        <v>42489</v>
      </c>
      <c r="D2327" s="184" t="s">
        <v>1579</v>
      </c>
      <c r="E2327" s="191">
        <v>42489</v>
      </c>
      <c r="F2327" s="189" t="s">
        <v>448</v>
      </c>
      <c r="G2327" s="456" t="s">
        <v>566</v>
      </c>
      <c r="H2327" s="7" t="s">
        <v>1581</v>
      </c>
      <c r="I2327" s="256">
        <v>208</v>
      </c>
      <c r="J2327" s="256">
        <v>61799.267130574808</v>
      </c>
      <c r="K2327" s="38">
        <f t="shared" si="125"/>
        <v>12854248</v>
      </c>
      <c r="L2327" s="566" t="s">
        <v>167</v>
      </c>
      <c r="M2327" s="566" t="s">
        <v>165</v>
      </c>
      <c r="N2327" s="52" t="str">
        <f>IF(AND('331-CT'!$E$7=TH!H2327,OR(L2327="331",M2327="331")),"331",IF(AND(OR(L2327="131",M2327="131"),H2327='131-CT'!$E$7),"131",""))</f>
        <v/>
      </c>
      <c r="O2327" s="857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0"/>
      <c r="AC2327" s="557"/>
    </row>
    <row r="2328" spans="1:29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24"/>
        <v>5</v>
      </c>
      <c r="C2328" s="184">
        <f t="shared" si="123"/>
        <v>42494</v>
      </c>
      <c r="D2328" s="184" t="s">
        <v>1579</v>
      </c>
      <c r="E2328" s="191">
        <v>42494</v>
      </c>
      <c r="F2328" s="189" t="s">
        <v>448</v>
      </c>
      <c r="G2328" s="456" t="s">
        <v>567</v>
      </c>
      <c r="H2328" s="7" t="s">
        <v>1581</v>
      </c>
      <c r="I2328" s="256">
        <v>101</v>
      </c>
      <c r="J2328" s="256">
        <v>61799.267130574808</v>
      </c>
      <c r="K2328" s="38">
        <f t="shared" si="125"/>
        <v>6241726</v>
      </c>
      <c r="L2328" s="566" t="s">
        <v>167</v>
      </c>
      <c r="M2328" s="566" t="s">
        <v>165</v>
      </c>
      <c r="N2328" s="52" t="str">
        <f>IF(AND('331-CT'!$E$7=TH!H2328,OR(L2328="331",M2328="331")),"331",IF(AND(OR(L2328="131",M2328="131"),H2328='131-CT'!$E$7),"131",""))</f>
        <v/>
      </c>
      <c r="O2328" s="857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0"/>
    </row>
    <row r="2329" spans="1:29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24"/>
        <v>5</v>
      </c>
      <c r="C2329" s="184">
        <f t="shared" si="123"/>
        <v>42494</v>
      </c>
      <c r="D2329" s="184" t="s">
        <v>1579</v>
      </c>
      <c r="E2329" s="191">
        <v>42494</v>
      </c>
      <c r="F2329" s="189" t="s">
        <v>1469</v>
      </c>
      <c r="G2329" s="456" t="s">
        <v>568</v>
      </c>
      <c r="H2329" s="7" t="s">
        <v>1581</v>
      </c>
      <c r="I2329" s="256">
        <v>500</v>
      </c>
      <c r="J2329" s="256">
        <v>6819.2294764772205</v>
      </c>
      <c r="K2329" s="38">
        <f t="shared" si="125"/>
        <v>3409615</v>
      </c>
      <c r="L2329" s="566" t="s">
        <v>167</v>
      </c>
      <c r="M2329" s="566" t="s">
        <v>165</v>
      </c>
      <c r="N2329" s="52" t="str">
        <f>IF(AND('331-CT'!$E$7=TH!H2329,OR(L2329="331",M2329="331")),"331",IF(AND(OR(L2329="131",M2329="131"),H2329='131-CT'!$E$7),"131",""))</f>
        <v/>
      </c>
      <c r="O2329" s="857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0"/>
    </row>
    <row r="2330" spans="1:29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24"/>
        <v>5</v>
      </c>
      <c r="C2330" s="184">
        <f t="shared" si="123"/>
        <v>42494</v>
      </c>
      <c r="D2330" s="184" t="s">
        <v>1579</v>
      </c>
      <c r="E2330" s="191">
        <v>42494</v>
      </c>
      <c r="F2330" s="189" t="s">
        <v>1463</v>
      </c>
      <c r="G2330" s="456" t="s">
        <v>568</v>
      </c>
      <c r="H2330" s="7" t="s">
        <v>1581</v>
      </c>
      <c r="I2330" s="256">
        <v>750</v>
      </c>
      <c r="J2330" s="256">
        <v>1875.2881060312357</v>
      </c>
      <c r="K2330" s="38">
        <f t="shared" si="125"/>
        <v>1406466</v>
      </c>
      <c r="L2330" s="566" t="s">
        <v>167</v>
      </c>
      <c r="M2330" s="566" t="s">
        <v>165</v>
      </c>
      <c r="N2330" s="52" t="str">
        <f>IF(AND('331-CT'!$E$7=TH!H2330,OR(L2330="331",M2330="331")),"331",IF(AND(OR(L2330="131",M2330="131"),H2330='131-CT'!$E$7),"131",""))</f>
        <v/>
      </c>
      <c r="O2330" s="857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0"/>
    </row>
    <row r="2331" spans="1:29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24"/>
        <v>5</v>
      </c>
      <c r="C2331" s="184">
        <f t="shared" si="123"/>
        <v>42494</v>
      </c>
      <c r="D2331" s="184" t="s">
        <v>1579</v>
      </c>
      <c r="E2331" s="191">
        <v>42494</v>
      </c>
      <c r="F2331" s="189" t="s">
        <v>1464</v>
      </c>
      <c r="G2331" s="456" t="s">
        <v>568</v>
      </c>
      <c r="H2331" s="7" t="s">
        <v>1581</v>
      </c>
      <c r="I2331" s="256">
        <v>300</v>
      </c>
      <c r="J2331" s="256">
        <v>2301.4899483110621</v>
      </c>
      <c r="K2331" s="38">
        <f t="shared" si="125"/>
        <v>690447</v>
      </c>
      <c r="L2331" s="566" t="s">
        <v>167</v>
      </c>
      <c r="M2331" s="566" t="s">
        <v>165</v>
      </c>
      <c r="N2331" s="52" t="str">
        <f>IF(AND('331-CT'!$E$7=TH!H2331,OR(L2331="331",M2331="331")),"331",IF(AND(OR(L2331="131",M2331="131"),H2331='131-CT'!$E$7),"131",""))</f>
        <v/>
      </c>
      <c r="O2331" s="857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0"/>
    </row>
    <row r="2332" spans="1:29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24"/>
        <v>5</v>
      </c>
      <c r="C2332" s="184">
        <f t="shared" si="123"/>
        <v>42495</v>
      </c>
      <c r="D2332" s="184" t="s">
        <v>1579</v>
      </c>
      <c r="E2332" s="191">
        <v>42495</v>
      </c>
      <c r="F2332" s="189" t="s">
        <v>1337</v>
      </c>
      <c r="G2332" s="456" t="s">
        <v>569</v>
      </c>
      <c r="H2332" s="7" t="s">
        <v>1581</v>
      </c>
      <c r="I2332" s="256">
        <v>500</v>
      </c>
      <c r="J2332" s="256">
        <v>10569.805688539691</v>
      </c>
      <c r="K2332" s="38">
        <f t="shared" si="125"/>
        <v>5284903</v>
      </c>
      <c r="L2332" s="566" t="s">
        <v>167</v>
      </c>
      <c r="M2332" s="566" t="s">
        <v>165</v>
      </c>
      <c r="N2332" s="52" t="str">
        <f>IF(AND('331-CT'!$E$7=TH!H2332,OR(L2332="331",M2332="331")),"331",IF(AND(OR(L2332="131",M2332="131"),H2332='131-CT'!$E$7),"131",""))</f>
        <v/>
      </c>
      <c r="O2332" s="857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0"/>
    </row>
    <row r="2333" spans="1:29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24"/>
        <v>5</v>
      </c>
      <c r="C2333" s="184">
        <f t="shared" si="123"/>
        <v>42495</v>
      </c>
      <c r="D2333" s="184" t="s">
        <v>1579</v>
      </c>
      <c r="E2333" s="191">
        <v>42495</v>
      </c>
      <c r="F2333" s="189" t="s">
        <v>1020</v>
      </c>
      <c r="G2333" s="456" t="s">
        <v>571</v>
      </c>
      <c r="H2333" s="7" t="s">
        <v>1581</v>
      </c>
      <c r="I2333" s="256">
        <v>22</v>
      </c>
      <c r="J2333" s="256">
        <v>34351.868487754</v>
      </c>
      <c r="K2333" s="38">
        <f t="shared" si="125"/>
        <v>755741</v>
      </c>
      <c r="L2333" s="566" t="s">
        <v>167</v>
      </c>
      <c r="M2333" s="566" t="s">
        <v>165</v>
      </c>
      <c r="N2333" s="52" t="str">
        <f>IF(AND('331-CT'!$E$7=TH!H2333,OR(L2333="331",M2333="331")),"331",IF(AND(OR(L2333="131",M2333="131"),H2333='131-CT'!$E$7),"131",""))</f>
        <v/>
      </c>
      <c r="O2333" s="857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0"/>
    </row>
    <row r="2334" spans="1:29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24"/>
        <v>5</v>
      </c>
      <c r="C2334" s="184">
        <f t="shared" ref="C2334:C2397" si="126">E2334</f>
        <v>42495</v>
      </c>
      <c r="D2334" s="184" t="s">
        <v>1579</v>
      </c>
      <c r="E2334" s="191">
        <v>42495</v>
      </c>
      <c r="F2334" s="189" t="s">
        <v>448</v>
      </c>
      <c r="G2334" s="456" t="s">
        <v>571</v>
      </c>
      <c r="H2334" s="7" t="s">
        <v>1581</v>
      </c>
      <c r="I2334" s="256">
        <v>120</v>
      </c>
      <c r="J2334" s="256">
        <v>61799.267130574808</v>
      </c>
      <c r="K2334" s="38">
        <f t="shared" si="125"/>
        <v>7415912</v>
      </c>
      <c r="L2334" s="566" t="s">
        <v>167</v>
      </c>
      <c r="M2334" s="566" t="s">
        <v>165</v>
      </c>
      <c r="N2334" s="52" t="str">
        <f>IF(AND('331-CT'!$E$7=TH!H2334,OR(L2334="331",M2334="331")),"331",IF(AND(OR(L2334="131",M2334="131"),H2334='131-CT'!$E$7),"131",""))</f>
        <v/>
      </c>
      <c r="O2334" s="857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0"/>
    </row>
    <row r="2335" spans="1:29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24"/>
        <v>5</v>
      </c>
      <c r="C2335" s="184">
        <f t="shared" si="126"/>
        <v>42496</v>
      </c>
      <c r="D2335" s="184" t="s">
        <v>1579</v>
      </c>
      <c r="E2335" s="191">
        <v>42496</v>
      </c>
      <c r="F2335" s="189" t="s">
        <v>510</v>
      </c>
      <c r="G2335" s="456" t="s">
        <v>709</v>
      </c>
      <c r="H2335" s="7" t="s">
        <v>1581</v>
      </c>
      <c r="I2335" s="256">
        <v>469</v>
      </c>
      <c r="J2335" s="256">
        <v>10825.526793907587</v>
      </c>
      <c r="K2335" s="38">
        <f t="shared" si="125"/>
        <v>5077172</v>
      </c>
      <c r="L2335" s="566" t="s">
        <v>167</v>
      </c>
      <c r="M2335" s="566" t="s">
        <v>165</v>
      </c>
      <c r="N2335" s="52" t="str">
        <f>IF(AND('331-CT'!$E$7=TH!H2335,OR(L2335="331",M2335="331")),"331",IF(AND(OR(L2335="131",M2335="131"),H2335='131-CT'!$E$7),"131",""))</f>
        <v/>
      </c>
      <c r="O2335" s="857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0"/>
    </row>
    <row r="2336" spans="1:29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124"/>
        <v>5</v>
      </c>
      <c r="C2336" s="184">
        <f t="shared" si="126"/>
        <v>42496</v>
      </c>
      <c r="D2336" s="184" t="s">
        <v>1579</v>
      </c>
      <c r="E2336" s="191">
        <v>42496</v>
      </c>
      <c r="F2336" s="189" t="s">
        <v>1021</v>
      </c>
      <c r="G2336" s="456" t="s">
        <v>572</v>
      </c>
      <c r="H2336" s="7" t="s">
        <v>1581</v>
      </c>
      <c r="I2336" s="256">
        <v>46</v>
      </c>
      <c r="J2336" s="256">
        <v>4773.460633534055</v>
      </c>
      <c r="K2336" s="38">
        <f t="shared" si="125"/>
        <v>219579</v>
      </c>
      <c r="L2336" s="566" t="s">
        <v>167</v>
      </c>
      <c r="M2336" s="566" t="s">
        <v>165</v>
      </c>
      <c r="N2336" s="52" t="str">
        <f>IF(AND('331-CT'!$E$7=TH!H2336,OR(L2336="331",M2336="331")),"331",IF(AND(OR(L2336="131",M2336="131"),H2336='131-CT'!$E$7),"131",""))</f>
        <v/>
      </c>
      <c r="O2336" s="857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0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24"/>
        <v>5</v>
      </c>
      <c r="C2337" s="184">
        <f t="shared" si="126"/>
        <v>42496</v>
      </c>
      <c r="D2337" s="184" t="s">
        <v>1579</v>
      </c>
      <c r="E2337" s="191">
        <v>42496</v>
      </c>
      <c r="F2337" s="189" t="s">
        <v>1022</v>
      </c>
      <c r="G2337" s="456" t="s">
        <v>572</v>
      </c>
      <c r="H2337" s="7" t="s">
        <v>1581</v>
      </c>
      <c r="I2337" s="256">
        <v>53</v>
      </c>
      <c r="J2337" s="256">
        <v>39722.011700479808</v>
      </c>
      <c r="K2337" s="38">
        <f t="shared" si="125"/>
        <v>2105267</v>
      </c>
      <c r="L2337" s="566" t="s">
        <v>167</v>
      </c>
      <c r="M2337" s="566" t="s">
        <v>165</v>
      </c>
      <c r="N2337" s="52" t="str">
        <f>IF(AND('331-CT'!$E$7=TH!H2337,OR(L2337="331",M2337="331")),"331",IF(AND(OR(L2337="131",M2337="131"),H2337='131-CT'!$E$7),"131",""))</f>
        <v/>
      </c>
      <c r="O2337" s="857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0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24"/>
        <v>5</v>
      </c>
      <c r="C2338" s="184">
        <f t="shared" si="126"/>
        <v>42496</v>
      </c>
      <c r="D2338" s="184" t="s">
        <v>1579</v>
      </c>
      <c r="E2338" s="191">
        <v>42496</v>
      </c>
      <c r="F2338" s="189" t="s">
        <v>1023</v>
      </c>
      <c r="G2338" s="456" t="s">
        <v>572</v>
      </c>
      <c r="H2338" s="7" t="s">
        <v>1581</v>
      </c>
      <c r="I2338" s="256">
        <v>53</v>
      </c>
      <c r="J2338" s="256">
        <v>34096.147382386102</v>
      </c>
      <c r="K2338" s="38">
        <f t="shared" si="125"/>
        <v>1807096</v>
      </c>
      <c r="L2338" s="566" t="s">
        <v>167</v>
      </c>
      <c r="M2338" s="566" t="s">
        <v>165</v>
      </c>
      <c r="N2338" s="52" t="str">
        <f>IF(AND('331-CT'!$E$7=TH!H2338,OR(L2338="331",M2338="331")),"331",IF(AND(OR(L2338="131",M2338="131"),H2338='131-CT'!$E$7),"131",""))</f>
        <v/>
      </c>
      <c r="O2338" s="857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0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24"/>
        <v>5</v>
      </c>
      <c r="C2339" s="184">
        <f t="shared" si="126"/>
        <v>42496</v>
      </c>
      <c r="D2339" s="184" t="s">
        <v>1579</v>
      </c>
      <c r="E2339" s="191">
        <v>42496</v>
      </c>
      <c r="F2339" s="189" t="s">
        <v>1023</v>
      </c>
      <c r="G2339" s="456" t="s">
        <v>572</v>
      </c>
      <c r="H2339" s="7" t="s">
        <v>1581</v>
      </c>
      <c r="I2339" s="256">
        <v>54</v>
      </c>
      <c r="J2339" s="256">
        <v>34096.147382386102</v>
      </c>
      <c r="K2339" s="38">
        <f t="shared" si="125"/>
        <v>1841192</v>
      </c>
      <c r="L2339" s="566" t="s">
        <v>167</v>
      </c>
      <c r="M2339" s="566" t="s">
        <v>165</v>
      </c>
      <c r="N2339" s="52" t="str">
        <f>IF(AND('331-CT'!$E$7=TH!H2339,OR(L2339="331",M2339="331")),"331",IF(AND(OR(L2339="131",M2339="131"),H2339='131-CT'!$E$7),"131",""))</f>
        <v/>
      </c>
      <c r="O2339" s="857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0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24"/>
        <v>5</v>
      </c>
      <c r="C2340" s="184">
        <f t="shared" si="126"/>
        <v>42496</v>
      </c>
      <c r="D2340" s="184" t="s">
        <v>1579</v>
      </c>
      <c r="E2340" s="191">
        <v>42496</v>
      </c>
      <c r="F2340" s="189" t="s">
        <v>1024</v>
      </c>
      <c r="G2340" s="456" t="s">
        <v>572</v>
      </c>
      <c r="H2340" s="7" t="s">
        <v>1581</v>
      </c>
      <c r="I2340" s="256">
        <v>51</v>
      </c>
      <c r="J2340" s="256">
        <v>48075.5678091644</v>
      </c>
      <c r="K2340" s="38">
        <f t="shared" si="125"/>
        <v>2451854</v>
      </c>
      <c r="L2340" s="566" t="s">
        <v>167</v>
      </c>
      <c r="M2340" s="566" t="s">
        <v>165</v>
      </c>
      <c r="N2340" s="52" t="str">
        <f>IF(AND('331-CT'!$E$7=TH!H2340,OR(L2340="331",M2340="331")),"331",IF(AND(OR(L2340="131",M2340="131"),H2340='131-CT'!$E$7),"131",""))</f>
        <v/>
      </c>
      <c r="O2340" s="857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0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24"/>
        <v>5</v>
      </c>
      <c r="C2341" s="184">
        <f t="shared" si="126"/>
        <v>42496</v>
      </c>
      <c r="D2341" s="184" t="s">
        <v>1579</v>
      </c>
      <c r="E2341" s="191">
        <v>42496</v>
      </c>
      <c r="F2341" s="189" t="s">
        <v>1025</v>
      </c>
      <c r="G2341" s="456" t="s">
        <v>572</v>
      </c>
      <c r="H2341" s="7" t="s">
        <v>1581</v>
      </c>
      <c r="I2341" s="256">
        <v>108</v>
      </c>
      <c r="J2341" s="256">
        <v>14320.381900602162</v>
      </c>
      <c r="K2341" s="38">
        <f t="shared" si="125"/>
        <v>1546601</v>
      </c>
      <c r="L2341" s="566" t="s">
        <v>167</v>
      </c>
      <c r="M2341" s="566" t="s">
        <v>165</v>
      </c>
      <c r="N2341" s="52" t="str">
        <f>IF(AND('331-CT'!$E$7=TH!H2341,OR(L2341="331",M2341="331")),"331",IF(AND(OR(L2341="131",M2341="131"),H2341='131-CT'!$E$7),"131",""))</f>
        <v/>
      </c>
      <c r="O2341" s="857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0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24"/>
        <v>5</v>
      </c>
      <c r="C2342" s="184">
        <f t="shared" si="126"/>
        <v>42496</v>
      </c>
      <c r="D2342" s="184" t="s">
        <v>1579</v>
      </c>
      <c r="E2342" s="191">
        <v>42496</v>
      </c>
      <c r="F2342" s="189" t="s">
        <v>1026</v>
      </c>
      <c r="G2342" s="456" t="s">
        <v>572</v>
      </c>
      <c r="H2342" s="7" t="s">
        <v>1581</v>
      </c>
      <c r="I2342" s="256">
        <v>37</v>
      </c>
      <c r="J2342" s="256">
        <v>8353.5561086845955</v>
      </c>
      <c r="K2342" s="38">
        <f t="shared" si="125"/>
        <v>309082</v>
      </c>
      <c r="L2342" s="566" t="s">
        <v>167</v>
      </c>
      <c r="M2342" s="566" t="s">
        <v>165</v>
      </c>
      <c r="N2342" s="52" t="str">
        <f>IF(AND('331-CT'!$E$7=TH!H2342,OR(L2342="331",M2342="331")),"331",IF(AND(OR(L2342="131",M2342="131"),H2342='131-CT'!$E$7),"131",""))</f>
        <v/>
      </c>
      <c r="O2342" s="857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0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24"/>
        <v>5</v>
      </c>
      <c r="C2343" s="184">
        <f t="shared" si="126"/>
        <v>42496</v>
      </c>
      <c r="D2343" s="184" t="s">
        <v>1579</v>
      </c>
      <c r="E2343" s="191">
        <v>42496</v>
      </c>
      <c r="F2343" s="189" t="s">
        <v>1027</v>
      </c>
      <c r="G2343" s="456" t="s">
        <v>572</v>
      </c>
      <c r="H2343" s="7" t="s">
        <v>1581</v>
      </c>
      <c r="I2343" s="256">
        <v>50</v>
      </c>
      <c r="J2343" s="256">
        <v>26424.514221349229</v>
      </c>
      <c r="K2343" s="38">
        <f t="shared" si="125"/>
        <v>1321226</v>
      </c>
      <c r="L2343" s="566" t="s">
        <v>167</v>
      </c>
      <c r="M2343" s="566" t="s">
        <v>165</v>
      </c>
      <c r="N2343" s="52" t="str">
        <f>IF(AND('331-CT'!$E$7=TH!H2343,OR(L2343="331",M2343="331")),"331",IF(AND(OR(L2343="131",M2343="131"),H2343='131-CT'!$E$7),"131",""))</f>
        <v/>
      </c>
      <c r="O2343" s="857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0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24"/>
        <v>5</v>
      </c>
      <c r="C2344" s="184">
        <f t="shared" si="126"/>
        <v>42496</v>
      </c>
      <c r="D2344" s="184" t="s">
        <v>1579</v>
      </c>
      <c r="E2344" s="191">
        <v>42496</v>
      </c>
      <c r="F2344" s="189" t="s">
        <v>1028</v>
      </c>
      <c r="G2344" s="456" t="s">
        <v>573</v>
      </c>
      <c r="H2344" s="7" t="s">
        <v>1581</v>
      </c>
      <c r="I2344" s="256">
        <v>30</v>
      </c>
      <c r="J2344" s="256">
        <v>10228.844214715829</v>
      </c>
      <c r="K2344" s="38">
        <f t="shared" si="125"/>
        <v>306865</v>
      </c>
      <c r="L2344" s="566" t="s">
        <v>167</v>
      </c>
      <c r="M2344" s="566" t="s">
        <v>165</v>
      </c>
      <c r="N2344" s="52" t="str">
        <f>IF(AND('331-CT'!$E$7=TH!H2344,OR(L2344="331",M2344="331")),"331",IF(AND(OR(L2344="131",M2344="131"),H2344='131-CT'!$E$7),"131",""))</f>
        <v/>
      </c>
      <c r="O2344" s="857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0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24"/>
        <v>5</v>
      </c>
      <c r="C2345" s="184">
        <f t="shared" si="126"/>
        <v>42496</v>
      </c>
      <c r="D2345" s="184" t="s">
        <v>1579</v>
      </c>
      <c r="E2345" s="191">
        <v>42496</v>
      </c>
      <c r="F2345" s="189" t="s">
        <v>1029</v>
      </c>
      <c r="G2345" s="456" t="s">
        <v>573</v>
      </c>
      <c r="H2345" s="7" t="s">
        <v>1581</v>
      </c>
      <c r="I2345" s="256">
        <v>60</v>
      </c>
      <c r="J2345" s="256">
        <v>4602.9798966221242</v>
      </c>
      <c r="K2345" s="38">
        <f t="shared" si="125"/>
        <v>276179</v>
      </c>
      <c r="L2345" s="566" t="s">
        <v>167</v>
      </c>
      <c r="M2345" s="566" t="s">
        <v>165</v>
      </c>
      <c r="N2345" s="52" t="str">
        <f>IF(AND('331-CT'!$E$7=TH!H2345,OR(L2345="331",M2345="331")),"331",IF(AND(OR(L2345="131",M2345="131"),H2345='131-CT'!$E$7),"131",""))</f>
        <v/>
      </c>
      <c r="O2345" s="857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0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ref="B2346:B2409" si="127">IF(C2346&lt;&gt;"",MONTH(C2346),"")</f>
        <v>5</v>
      </c>
      <c r="C2346" s="184">
        <f t="shared" si="126"/>
        <v>42496</v>
      </c>
      <c r="D2346" s="184" t="s">
        <v>1579</v>
      </c>
      <c r="E2346" s="191">
        <v>42496</v>
      </c>
      <c r="F2346" s="189" t="s">
        <v>1030</v>
      </c>
      <c r="G2346" s="456" t="s">
        <v>573</v>
      </c>
      <c r="H2346" s="7" t="s">
        <v>1581</v>
      </c>
      <c r="I2346" s="256">
        <v>60</v>
      </c>
      <c r="J2346" s="256">
        <v>10740.286425451623</v>
      </c>
      <c r="K2346" s="38">
        <f t="shared" si="125"/>
        <v>644417</v>
      </c>
      <c r="L2346" s="566" t="s">
        <v>167</v>
      </c>
      <c r="M2346" s="566" t="s">
        <v>165</v>
      </c>
      <c r="N2346" s="52" t="str">
        <f>IF(AND('331-CT'!$E$7=TH!H2346,OR(L2346="331",M2346="331")),"331",IF(AND(OR(L2346="131",M2346="131"),H2346='131-CT'!$E$7),"131",""))</f>
        <v/>
      </c>
      <c r="O2346" s="857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0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27"/>
        <v>5</v>
      </c>
      <c r="C2347" s="184">
        <f t="shared" si="126"/>
        <v>42496</v>
      </c>
      <c r="D2347" s="184" t="s">
        <v>1579</v>
      </c>
      <c r="E2347" s="191">
        <v>42496</v>
      </c>
      <c r="F2347" s="189" t="s">
        <v>1031</v>
      </c>
      <c r="G2347" s="456" t="s">
        <v>573</v>
      </c>
      <c r="H2347" s="7" t="s">
        <v>1581</v>
      </c>
      <c r="I2347" s="256">
        <v>36</v>
      </c>
      <c r="J2347" s="256">
        <v>6393.027634197394</v>
      </c>
      <c r="K2347" s="38">
        <f t="shared" si="125"/>
        <v>230149</v>
      </c>
      <c r="L2347" s="566" t="s">
        <v>167</v>
      </c>
      <c r="M2347" s="566" t="s">
        <v>165</v>
      </c>
      <c r="N2347" s="52" t="str">
        <f>IF(AND('331-CT'!$E$7=TH!H2347,OR(L2347="331",M2347="331")),"331",IF(AND(OR(L2347="131",M2347="131"),H2347='131-CT'!$E$7),"131",""))</f>
        <v/>
      </c>
      <c r="O2347" s="857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0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27"/>
        <v>5</v>
      </c>
      <c r="C2348" s="184">
        <f t="shared" si="126"/>
        <v>42496</v>
      </c>
      <c r="D2348" s="184" t="s">
        <v>1579</v>
      </c>
      <c r="E2348" s="191">
        <v>42496</v>
      </c>
      <c r="F2348" s="189" t="s">
        <v>1032</v>
      </c>
      <c r="G2348" s="456" t="s">
        <v>573</v>
      </c>
      <c r="H2348" s="7" t="s">
        <v>1581</v>
      </c>
      <c r="I2348" s="256">
        <v>24</v>
      </c>
      <c r="J2348" s="256">
        <v>22759.178377742723</v>
      </c>
      <c r="K2348" s="38">
        <f t="shared" si="125"/>
        <v>546220</v>
      </c>
      <c r="L2348" s="566" t="s">
        <v>167</v>
      </c>
      <c r="M2348" s="566" t="s">
        <v>165</v>
      </c>
      <c r="N2348" s="52" t="str">
        <f>IF(AND('331-CT'!$E$7=TH!H2348,OR(L2348="331",M2348="331")),"331",IF(AND(OR(L2348="131",M2348="131"),H2348='131-CT'!$E$7),"131",""))</f>
        <v/>
      </c>
      <c r="O2348" s="857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0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27"/>
        <v>5</v>
      </c>
      <c r="C2349" s="184">
        <f t="shared" si="126"/>
        <v>42496</v>
      </c>
      <c r="D2349" s="184" t="s">
        <v>1579</v>
      </c>
      <c r="E2349" s="191">
        <v>42496</v>
      </c>
      <c r="F2349" s="189" t="s">
        <v>1033</v>
      </c>
      <c r="G2349" s="456" t="s">
        <v>573</v>
      </c>
      <c r="H2349" s="7" t="s">
        <v>1581</v>
      </c>
      <c r="I2349" s="256">
        <v>20</v>
      </c>
      <c r="J2349" s="256">
        <v>21906.77469318307</v>
      </c>
      <c r="K2349" s="38">
        <f t="shared" si="125"/>
        <v>438135</v>
      </c>
      <c r="L2349" s="566" t="s">
        <v>167</v>
      </c>
      <c r="M2349" s="566" t="s">
        <v>165</v>
      </c>
      <c r="N2349" s="52" t="str">
        <f>IF(AND('331-CT'!$E$7=TH!H2349,OR(L2349="331",M2349="331")),"331",IF(AND(OR(L2349="131",M2349="131"),H2349='131-CT'!$E$7),"131",""))</f>
        <v/>
      </c>
      <c r="O2349" s="857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0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27"/>
        <v>5</v>
      </c>
      <c r="C2350" s="184">
        <f t="shared" si="126"/>
        <v>42496</v>
      </c>
      <c r="D2350" s="184" t="s">
        <v>1579</v>
      </c>
      <c r="E2350" s="191">
        <v>42496</v>
      </c>
      <c r="F2350" s="189" t="s">
        <v>1034</v>
      </c>
      <c r="G2350" s="456" t="s">
        <v>573</v>
      </c>
      <c r="H2350" s="7" t="s">
        <v>1581</v>
      </c>
      <c r="I2350" s="256">
        <v>22</v>
      </c>
      <c r="J2350" s="256">
        <v>23270.620588478516</v>
      </c>
      <c r="K2350" s="38">
        <f t="shared" si="125"/>
        <v>511954</v>
      </c>
      <c r="L2350" s="566" t="s">
        <v>167</v>
      </c>
      <c r="M2350" s="566" t="s">
        <v>165</v>
      </c>
      <c r="N2350" s="52" t="str">
        <f>IF(AND('331-CT'!$E$7=TH!H2350,OR(L2350="331",M2350="331")),"331",IF(AND(OR(L2350="131",M2350="131"),H2350='131-CT'!$E$7),"131",""))</f>
        <v/>
      </c>
      <c r="O2350" s="857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0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27"/>
        <v>5</v>
      </c>
      <c r="C2351" s="184">
        <f t="shared" si="126"/>
        <v>42496</v>
      </c>
      <c r="D2351" s="184" t="s">
        <v>1579</v>
      </c>
      <c r="E2351" s="191">
        <v>42496</v>
      </c>
      <c r="F2351" s="189" t="s">
        <v>1035</v>
      </c>
      <c r="G2351" s="456" t="s">
        <v>573</v>
      </c>
      <c r="H2351" s="7" t="s">
        <v>1581</v>
      </c>
      <c r="I2351" s="256">
        <v>20</v>
      </c>
      <c r="J2351" s="256">
        <v>29663.648222675907</v>
      </c>
      <c r="K2351" s="38">
        <f t="shared" si="125"/>
        <v>593273</v>
      </c>
      <c r="L2351" s="566" t="s">
        <v>167</v>
      </c>
      <c r="M2351" s="566" t="s">
        <v>165</v>
      </c>
      <c r="N2351" s="52" t="str">
        <f>IF(AND('331-CT'!$E$7=TH!H2351,OR(L2351="331",M2351="331")),"331",IF(AND(OR(L2351="131",M2351="131"),H2351='131-CT'!$E$7),"131",""))</f>
        <v/>
      </c>
      <c r="O2351" s="857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0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27"/>
        <v>5</v>
      </c>
      <c r="C2352" s="184">
        <f t="shared" si="126"/>
        <v>42496</v>
      </c>
      <c r="D2352" s="184" t="s">
        <v>1579</v>
      </c>
      <c r="E2352" s="191">
        <v>42496</v>
      </c>
      <c r="F2352" s="189" t="s">
        <v>1036</v>
      </c>
      <c r="G2352" s="456" t="s">
        <v>573</v>
      </c>
      <c r="H2352" s="7" t="s">
        <v>1581</v>
      </c>
      <c r="I2352" s="256">
        <v>20</v>
      </c>
      <c r="J2352" s="256">
        <v>25913.072010613436</v>
      </c>
      <c r="K2352" s="38">
        <f t="shared" si="125"/>
        <v>518261</v>
      </c>
      <c r="L2352" s="566" t="s">
        <v>167</v>
      </c>
      <c r="M2352" s="566" t="s">
        <v>165</v>
      </c>
      <c r="N2352" s="52" t="str">
        <f>IF(AND('331-CT'!$E$7=TH!H2352,OR(L2352="331",M2352="331")),"331",IF(AND(OR(L2352="131",M2352="131"),H2352='131-CT'!$E$7),"131",""))</f>
        <v/>
      </c>
      <c r="O2352" s="857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0"/>
    </row>
    <row r="2353" spans="1:29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27"/>
        <v>5</v>
      </c>
      <c r="C2353" s="184">
        <f t="shared" si="126"/>
        <v>42497</v>
      </c>
      <c r="D2353" s="184" t="s">
        <v>1579</v>
      </c>
      <c r="E2353" s="191">
        <v>42497</v>
      </c>
      <c r="F2353" s="189" t="s">
        <v>1037</v>
      </c>
      <c r="G2353" s="456" t="s">
        <v>575</v>
      </c>
      <c r="H2353" s="7" t="s">
        <v>1581</v>
      </c>
      <c r="I2353" s="256">
        <v>20</v>
      </c>
      <c r="J2353" s="256">
        <v>13808.939689866373</v>
      </c>
      <c r="K2353" s="38">
        <f t="shared" si="125"/>
        <v>276179</v>
      </c>
      <c r="L2353" s="566" t="s">
        <v>167</v>
      </c>
      <c r="M2353" s="566" t="s">
        <v>165</v>
      </c>
      <c r="N2353" s="52" t="str">
        <f>IF(AND('331-CT'!$E$7=TH!H2353,OR(L2353="331",M2353="331")),"331",IF(AND(OR(L2353="131",M2353="131"),H2353='131-CT'!$E$7),"131",""))</f>
        <v/>
      </c>
      <c r="O2353" s="857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0"/>
    </row>
    <row r="2354" spans="1:29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27"/>
        <v>5</v>
      </c>
      <c r="C2354" s="184">
        <f t="shared" si="126"/>
        <v>42497</v>
      </c>
      <c r="D2354" s="184" t="s">
        <v>1579</v>
      </c>
      <c r="E2354" s="191">
        <v>42497</v>
      </c>
      <c r="F2354" s="189" t="s">
        <v>1038</v>
      </c>
      <c r="G2354" s="456" t="s">
        <v>575</v>
      </c>
      <c r="H2354" s="7" t="s">
        <v>1581</v>
      </c>
      <c r="I2354" s="256">
        <v>20</v>
      </c>
      <c r="J2354" s="256">
        <v>15939.948901265503</v>
      </c>
      <c r="K2354" s="38">
        <f t="shared" si="125"/>
        <v>318799</v>
      </c>
      <c r="L2354" s="566" t="s">
        <v>167</v>
      </c>
      <c r="M2354" s="566" t="s">
        <v>165</v>
      </c>
      <c r="N2354" s="52" t="str">
        <f>IF(AND('331-CT'!$E$7=TH!H2354,OR(L2354="331",M2354="331")),"331",IF(AND(OR(L2354="131",M2354="131"),H2354='131-CT'!$E$7),"131",""))</f>
        <v/>
      </c>
      <c r="O2354" s="857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0"/>
    </row>
    <row r="2355" spans="1:29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27"/>
        <v>5</v>
      </c>
      <c r="C2355" s="184">
        <f t="shared" si="126"/>
        <v>42497</v>
      </c>
      <c r="D2355" s="184" t="s">
        <v>1579</v>
      </c>
      <c r="E2355" s="191">
        <v>42497</v>
      </c>
      <c r="F2355" s="189" t="s">
        <v>986</v>
      </c>
      <c r="G2355" s="456" t="s">
        <v>575</v>
      </c>
      <c r="H2355" s="7" t="s">
        <v>1581</v>
      </c>
      <c r="I2355" s="256">
        <v>107</v>
      </c>
      <c r="J2355" s="256">
        <v>19093.84253413622</v>
      </c>
      <c r="K2355" s="38">
        <f t="shared" si="125"/>
        <v>2043041</v>
      </c>
      <c r="L2355" s="566" t="s">
        <v>167</v>
      </c>
      <c r="M2355" s="566" t="s">
        <v>165</v>
      </c>
      <c r="N2355" s="52" t="str">
        <f>IF(AND('331-CT'!$E$7=TH!H2355,OR(L2355="331",M2355="331")),"331",IF(AND(OR(L2355="131",M2355="131"),H2355='131-CT'!$E$7),"131",""))</f>
        <v/>
      </c>
      <c r="O2355" s="857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0"/>
    </row>
    <row r="2356" spans="1:29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27"/>
        <v>5</v>
      </c>
      <c r="C2356" s="184">
        <f t="shared" si="126"/>
        <v>42497</v>
      </c>
      <c r="D2356" s="184" t="s">
        <v>1579</v>
      </c>
      <c r="E2356" s="191">
        <v>42497</v>
      </c>
      <c r="F2356" s="189" t="s">
        <v>1039</v>
      </c>
      <c r="G2356" s="456" t="s">
        <v>575</v>
      </c>
      <c r="H2356" s="7" t="s">
        <v>1581</v>
      </c>
      <c r="I2356" s="256">
        <v>26</v>
      </c>
      <c r="J2356" s="256">
        <v>14490.862637514092</v>
      </c>
      <c r="K2356" s="38">
        <f t="shared" si="125"/>
        <v>376762</v>
      </c>
      <c r="L2356" s="566" t="s">
        <v>167</v>
      </c>
      <c r="M2356" s="566" t="s">
        <v>165</v>
      </c>
      <c r="N2356" s="52" t="str">
        <f>IF(AND('331-CT'!$E$7=TH!H2356,OR(L2356="331",M2356="331")),"331",IF(AND(OR(L2356="131",M2356="131"),H2356='131-CT'!$E$7),"131",""))</f>
        <v/>
      </c>
      <c r="O2356" s="857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0"/>
    </row>
    <row r="2357" spans="1:29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27"/>
        <v>5</v>
      </c>
      <c r="C2357" s="184">
        <f t="shared" si="126"/>
        <v>42497</v>
      </c>
      <c r="D2357" s="184" t="s">
        <v>1579</v>
      </c>
      <c r="E2357" s="191">
        <v>42497</v>
      </c>
      <c r="F2357" s="189" t="s">
        <v>1040</v>
      </c>
      <c r="G2357" s="456" t="s">
        <v>575</v>
      </c>
      <c r="H2357" s="7" t="s">
        <v>1581</v>
      </c>
      <c r="I2357" s="256">
        <v>52</v>
      </c>
      <c r="J2357" s="256">
        <v>20798.649903255522</v>
      </c>
      <c r="K2357" s="38">
        <f t="shared" si="125"/>
        <v>1081530</v>
      </c>
      <c r="L2357" s="566" t="s">
        <v>167</v>
      </c>
      <c r="M2357" s="566" t="s">
        <v>165</v>
      </c>
      <c r="N2357" s="52" t="str">
        <f>IF(AND('331-CT'!$E$7=TH!H2357,OR(L2357="331",M2357="331")),"331",IF(AND(OR(L2357="131",M2357="131"),H2357='131-CT'!$E$7),"131",""))</f>
        <v/>
      </c>
      <c r="O2357" s="857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0"/>
    </row>
    <row r="2358" spans="1:29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27"/>
        <v>5</v>
      </c>
      <c r="C2358" s="184">
        <f t="shared" si="126"/>
        <v>42497</v>
      </c>
      <c r="D2358" s="184" t="s">
        <v>1579</v>
      </c>
      <c r="E2358" s="191">
        <v>42497</v>
      </c>
      <c r="F2358" s="189" t="s">
        <v>1041</v>
      </c>
      <c r="G2358" s="456" t="s">
        <v>575</v>
      </c>
      <c r="H2358" s="7" t="s">
        <v>1581</v>
      </c>
      <c r="I2358" s="256">
        <v>52</v>
      </c>
      <c r="J2358" s="256">
        <v>70834.746186907127</v>
      </c>
      <c r="K2358" s="38">
        <f t="shared" si="125"/>
        <v>3683407</v>
      </c>
      <c r="L2358" s="566" t="s">
        <v>167</v>
      </c>
      <c r="M2358" s="566" t="s">
        <v>165</v>
      </c>
      <c r="N2358" s="52" t="str">
        <f>IF(AND('331-CT'!$E$7=TH!H2358,OR(L2358="331",M2358="331")),"331",IF(AND(OR(L2358="131",M2358="131"),H2358='131-CT'!$E$7),"131",""))</f>
        <v/>
      </c>
      <c r="O2358" s="857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0"/>
    </row>
    <row r="2359" spans="1:29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27"/>
        <v>5</v>
      </c>
      <c r="C2359" s="184">
        <f t="shared" si="126"/>
        <v>42497</v>
      </c>
      <c r="D2359" s="184" t="s">
        <v>1579</v>
      </c>
      <c r="E2359" s="191">
        <v>42497</v>
      </c>
      <c r="F2359" s="189" t="s">
        <v>1042</v>
      </c>
      <c r="G2359" s="456" t="s">
        <v>575</v>
      </c>
      <c r="H2359" s="7" t="s">
        <v>1581</v>
      </c>
      <c r="I2359" s="256">
        <v>51</v>
      </c>
      <c r="J2359" s="256">
        <v>58560.133129248134</v>
      </c>
      <c r="K2359" s="38">
        <f t="shared" si="125"/>
        <v>2986567</v>
      </c>
      <c r="L2359" s="566" t="s">
        <v>167</v>
      </c>
      <c r="M2359" s="566" t="s">
        <v>165</v>
      </c>
      <c r="N2359" s="52" t="str">
        <f>IF(AND('331-CT'!$E$7=TH!H2359,OR(L2359="331",M2359="331")),"331",IF(AND(OR(L2359="131",M2359="131"),H2359='131-CT'!$E$7),"131",""))</f>
        <v/>
      </c>
      <c r="O2359" s="857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0"/>
      <c r="AC2359" s="557"/>
    </row>
    <row r="2360" spans="1:29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27"/>
        <v>5</v>
      </c>
      <c r="C2360" s="184">
        <f t="shared" si="126"/>
        <v>42497</v>
      </c>
      <c r="D2360" s="184" t="s">
        <v>1579</v>
      </c>
      <c r="E2360" s="191">
        <v>42497</v>
      </c>
      <c r="F2360" s="189" t="s">
        <v>1043</v>
      </c>
      <c r="G2360" s="456" t="s">
        <v>575</v>
      </c>
      <c r="H2360" s="7" t="s">
        <v>1581</v>
      </c>
      <c r="I2360" s="256">
        <v>56</v>
      </c>
      <c r="J2360" s="256">
        <v>34181.387750842063</v>
      </c>
      <c r="K2360" s="38">
        <f t="shared" si="125"/>
        <v>1914158</v>
      </c>
      <c r="L2360" s="566" t="s">
        <v>167</v>
      </c>
      <c r="M2360" s="566" t="s">
        <v>165</v>
      </c>
      <c r="N2360" s="52" t="str">
        <f>IF(AND('331-CT'!$E$7=TH!H2360,OR(L2360="331",M2360="331")),"331",IF(AND(OR(L2360="131",M2360="131"),H2360='131-CT'!$E$7),"131",""))</f>
        <v/>
      </c>
      <c r="O2360" s="857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0"/>
      <c r="AC2360" s="557"/>
    </row>
    <row r="2361" spans="1:29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27"/>
        <v>5</v>
      </c>
      <c r="C2361" s="184">
        <f t="shared" si="126"/>
        <v>42497</v>
      </c>
      <c r="D2361" s="184" t="s">
        <v>1579</v>
      </c>
      <c r="E2361" s="191">
        <v>42497</v>
      </c>
      <c r="F2361" s="189" t="s">
        <v>1044</v>
      </c>
      <c r="G2361" s="456" t="s">
        <v>575</v>
      </c>
      <c r="H2361" s="7" t="s">
        <v>1581</v>
      </c>
      <c r="I2361" s="256">
        <v>50</v>
      </c>
      <c r="J2361" s="256">
        <v>41767.780543422974</v>
      </c>
      <c r="K2361" s="38">
        <f t="shared" si="125"/>
        <v>2088389</v>
      </c>
      <c r="L2361" s="566" t="s">
        <v>167</v>
      </c>
      <c r="M2361" s="566" t="s">
        <v>165</v>
      </c>
      <c r="N2361" s="52" t="str">
        <f>IF(AND('331-CT'!$E$7=TH!H2361,OR(L2361="331",M2361="331")),"331",IF(AND(OR(L2361="131",M2361="131"),H2361='131-CT'!$E$7),"131",""))</f>
        <v/>
      </c>
      <c r="O2361" s="857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0"/>
    </row>
    <row r="2362" spans="1:29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27"/>
        <v>5</v>
      </c>
      <c r="C2362" s="184">
        <f t="shared" si="126"/>
        <v>42499</v>
      </c>
      <c r="D2362" s="184" t="s">
        <v>1579</v>
      </c>
      <c r="E2362" s="191">
        <v>42499</v>
      </c>
      <c r="F2362" s="189" t="s">
        <v>466</v>
      </c>
      <c r="G2362" s="456" t="s">
        <v>576</v>
      </c>
      <c r="H2362" s="7" t="s">
        <v>1581</v>
      </c>
      <c r="I2362" s="256">
        <v>281</v>
      </c>
      <c r="J2362" s="256">
        <v>5796.3450550056377</v>
      </c>
      <c r="K2362" s="38">
        <f t="shared" si="125"/>
        <v>1628773</v>
      </c>
      <c r="L2362" s="566" t="s">
        <v>167</v>
      </c>
      <c r="M2362" s="566" t="s">
        <v>165</v>
      </c>
      <c r="N2362" s="52" t="str">
        <f>IF(AND('331-CT'!$E$7=TH!H2362,OR(L2362="331",M2362="331")),"331",IF(AND(OR(L2362="131",M2362="131"),H2362='131-CT'!$E$7),"131",""))</f>
        <v/>
      </c>
      <c r="O2362" s="857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0"/>
      <c r="AC2362" s="557"/>
    </row>
    <row r="2363" spans="1:29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27"/>
        <v>5</v>
      </c>
      <c r="C2363" s="184">
        <f t="shared" si="126"/>
        <v>42499</v>
      </c>
      <c r="D2363" s="184" t="s">
        <v>1579</v>
      </c>
      <c r="E2363" s="191">
        <v>42499</v>
      </c>
      <c r="F2363" s="189" t="s">
        <v>466</v>
      </c>
      <c r="G2363" s="456" t="s">
        <v>576</v>
      </c>
      <c r="H2363" s="7" t="s">
        <v>1581</v>
      </c>
      <c r="I2363" s="256">
        <v>495</v>
      </c>
      <c r="J2363" s="256">
        <v>5796.3450550056377</v>
      </c>
      <c r="K2363" s="38">
        <f t="shared" si="125"/>
        <v>2869191</v>
      </c>
      <c r="L2363" s="566" t="s">
        <v>167</v>
      </c>
      <c r="M2363" s="566" t="s">
        <v>165</v>
      </c>
      <c r="N2363" s="52" t="str">
        <f>IF(AND('331-CT'!$E$7=TH!H2363,OR(L2363="331",M2363="331")),"331",IF(AND(OR(L2363="131",M2363="131"),H2363='131-CT'!$E$7),"131",""))</f>
        <v/>
      </c>
      <c r="O2363" s="857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0"/>
    </row>
    <row r="2364" spans="1:29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27"/>
        <v>5</v>
      </c>
      <c r="C2364" s="184">
        <f t="shared" si="126"/>
        <v>42499</v>
      </c>
      <c r="D2364" s="184" t="s">
        <v>1579</v>
      </c>
      <c r="E2364" s="191">
        <v>42499</v>
      </c>
      <c r="F2364" s="189" t="s">
        <v>504</v>
      </c>
      <c r="G2364" s="456" t="s">
        <v>577</v>
      </c>
      <c r="H2364" s="7" t="s">
        <v>1581</v>
      </c>
      <c r="I2364" s="256">
        <v>65</v>
      </c>
      <c r="J2364" s="256">
        <v>10910.767162363552</v>
      </c>
      <c r="K2364" s="38">
        <f t="shared" si="125"/>
        <v>709200</v>
      </c>
      <c r="L2364" s="566" t="s">
        <v>167</v>
      </c>
      <c r="M2364" s="566" t="s">
        <v>165</v>
      </c>
      <c r="N2364" s="52" t="str">
        <f>IF(AND('331-CT'!$E$7=TH!H2364,OR(L2364="331",M2364="331")),"331",IF(AND(OR(L2364="131",M2364="131"),H2364='131-CT'!$E$7),"131",""))</f>
        <v/>
      </c>
      <c r="O2364" s="857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0"/>
    </row>
    <row r="2365" spans="1:29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27"/>
        <v>5</v>
      </c>
      <c r="C2365" s="184">
        <f t="shared" si="126"/>
        <v>42499</v>
      </c>
      <c r="D2365" s="184" t="s">
        <v>1579</v>
      </c>
      <c r="E2365" s="191">
        <v>42499</v>
      </c>
      <c r="F2365" s="189" t="s">
        <v>1045</v>
      </c>
      <c r="G2365" s="456" t="s">
        <v>577</v>
      </c>
      <c r="H2365" s="7" t="s">
        <v>1581</v>
      </c>
      <c r="I2365" s="256">
        <v>105</v>
      </c>
      <c r="J2365" s="256">
        <v>9802.6423724360029</v>
      </c>
      <c r="K2365" s="38">
        <f t="shared" si="125"/>
        <v>1029277</v>
      </c>
      <c r="L2365" s="566" t="s">
        <v>167</v>
      </c>
      <c r="M2365" s="566" t="s">
        <v>165</v>
      </c>
      <c r="N2365" s="52" t="str">
        <f>IF(AND('331-CT'!$E$7=TH!H2365,OR(L2365="331",M2365="331")),"331",IF(AND(OR(L2365="131",M2365="131"),H2365='131-CT'!$E$7),"131",""))</f>
        <v/>
      </c>
      <c r="O2365" s="857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0"/>
    </row>
    <row r="2366" spans="1:29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27"/>
        <v>5</v>
      </c>
      <c r="C2366" s="184">
        <f t="shared" si="126"/>
        <v>42499</v>
      </c>
      <c r="D2366" s="184" t="s">
        <v>1579</v>
      </c>
      <c r="E2366" s="191">
        <v>42499</v>
      </c>
      <c r="F2366" s="189" t="s">
        <v>1046</v>
      </c>
      <c r="G2366" s="456" t="s">
        <v>577</v>
      </c>
      <c r="H2366" s="7" t="s">
        <v>1581</v>
      </c>
      <c r="I2366" s="256">
        <v>130</v>
      </c>
      <c r="J2366" s="256">
        <v>6478.268002653359</v>
      </c>
      <c r="K2366" s="38">
        <f t="shared" si="125"/>
        <v>842175</v>
      </c>
      <c r="L2366" s="566" t="s">
        <v>167</v>
      </c>
      <c r="M2366" s="566" t="s">
        <v>165</v>
      </c>
      <c r="N2366" s="52" t="str">
        <f>IF(AND('331-CT'!$E$7=TH!H2366,OR(L2366="331",M2366="331")),"331",IF(AND(OR(L2366="131",M2366="131"),H2366='131-CT'!$E$7),"131",""))</f>
        <v/>
      </c>
      <c r="O2366" s="857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0"/>
    </row>
    <row r="2367" spans="1:29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27"/>
        <v>5</v>
      </c>
      <c r="C2367" s="184">
        <f t="shared" si="126"/>
        <v>42499</v>
      </c>
      <c r="D2367" s="184" t="s">
        <v>1579</v>
      </c>
      <c r="E2367" s="191">
        <v>42499</v>
      </c>
      <c r="F2367" s="189" t="s">
        <v>510</v>
      </c>
      <c r="G2367" s="456" t="s">
        <v>577</v>
      </c>
      <c r="H2367" s="7" t="s">
        <v>1581</v>
      </c>
      <c r="I2367" s="256">
        <v>356</v>
      </c>
      <c r="J2367" s="256">
        <v>10825.526793907587</v>
      </c>
      <c r="K2367" s="38">
        <f t="shared" si="125"/>
        <v>3853888</v>
      </c>
      <c r="L2367" s="566" t="s">
        <v>167</v>
      </c>
      <c r="M2367" s="566" t="s">
        <v>165</v>
      </c>
      <c r="N2367" s="52" t="str">
        <f>IF(AND('331-CT'!$E$7=TH!H2367,OR(L2367="331",M2367="331")),"331",IF(AND(OR(L2367="131",M2367="131"),H2367='131-CT'!$E$7),"131",""))</f>
        <v/>
      </c>
      <c r="O2367" s="857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0"/>
    </row>
    <row r="2368" spans="1:29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27"/>
        <v>5</v>
      </c>
      <c r="C2368" s="184">
        <f t="shared" si="126"/>
        <v>42500</v>
      </c>
      <c r="D2368" s="184" t="s">
        <v>1579</v>
      </c>
      <c r="E2368" s="191">
        <v>42500</v>
      </c>
      <c r="F2368" s="189" t="s">
        <v>510</v>
      </c>
      <c r="G2368" s="456" t="s">
        <v>578</v>
      </c>
      <c r="H2368" s="7" t="s">
        <v>1581</v>
      </c>
      <c r="I2368" s="256">
        <v>102</v>
      </c>
      <c r="J2368" s="256">
        <v>10825.526793907587</v>
      </c>
      <c r="K2368" s="38">
        <f t="shared" si="125"/>
        <v>1104204</v>
      </c>
      <c r="L2368" s="566" t="s">
        <v>167</v>
      </c>
      <c r="M2368" s="566" t="s">
        <v>165</v>
      </c>
      <c r="N2368" s="52" t="str">
        <f>IF(AND('331-CT'!$E$7=TH!H2368,OR(L2368="331",M2368="331")),"331",IF(AND(OR(L2368="131",M2368="131"),H2368='131-CT'!$E$7),"131",""))</f>
        <v/>
      </c>
      <c r="O2368" s="857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0"/>
    </row>
    <row r="2369" spans="1:29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27"/>
        <v>5</v>
      </c>
      <c r="C2369" s="184">
        <f t="shared" si="126"/>
        <v>42500</v>
      </c>
      <c r="D2369" s="184" t="s">
        <v>1579</v>
      </c>
      <c r="E2369" s="191">
        <v>42500</v>
      </c>
      <c r="F2369" s="189" t="s">
        <v>1047</v>
      </c>
      <c r="G2369" s="456" t="s">
        <v>578</v>
      </c>
      <c r="H2369" s="7" t="s">
        <v>1581</v>
      </c>
      <c r="I2369" s="256">
        <v>198</v>
      </c>
      <c r="J2369" s="256">
        <v>10825.526793907587</v>
      </c>
      <c r="K2369" s="38">
        <f t="shared" si="125"/>
        <v>2143454</v>
      </c>
      <c r="L2369" s="566" t="s">
        <v>167</v>
      </c>
      <c r="M2369" s="566" t="s">
        <v>165</v>
      </c>
      <c r="N2369" s="52" t="str">
        <f>IF(AND('331-CT'!$E$7=TH!H2369,OR(L2369="331",M2369="331")),"331",IF(AND(OR(L2369="131",M2369="131"),H2369='131-CT'!$E$7),"131",""))</f>
        <v/>
      </c>
      <c r="O2369" s="857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0"/>
    </row>
    <row r="2370" spans="1:29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27"/>
        <v>5</v>
      </c>
      <c r="C2370" s="184">
        <f t="shared" si="126"/>
        <v>42500</v>
      </c>
      <c r="D2370" s="184" t="s">
        <v>1579</v>
      </c>
      <c r="E2370" s="191">
        <v>42500</v>
      </c>
      <c r="F2370" s="189" t="s">
        <v>1046</v>
      </c>
      <c r="G2370" s="456" t="s">
        <v>578</v>
      </c>
      <c r="H2370" s="7" t="s">
        <v>1581</v>
      </c>
      <c r="I2370" s="256">
        <v>260</v>
      </c>
      <c r="J2370" s="256">
        <v>6478.268002653359</v>
      </c>
      <c r="K2370" s="38">
        <f t="shared" si="125"/>
        <v>1684350</v>
      </c>
      <c r="L2370" s="566" t="s">
        <v>167</v>
      </c>
      <c r="M2370" s="566" t="s">
        <v>165</v>
      </c>
      <c r="N2370" s="52" t="str">
        <f>IF(AND('331-CT'!$E$7=TH!H2370,OR(L2370="331",M2370="331")),"331",IF(AND(OR(L2370="131",M2370="131"),H2370='131-CT'!$E$7),"131",""))</f>
        <v/>
      </c>
      <c r="O2370" s="857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0"/>
    </row>
    <row r="2371" spans="1:29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27"/>
        <v>5</v>
      </c>
      <c r="C2371" s="184">
        <f t="shared" si="126"/>
        <v>42500</v>
      </c>
      <c r="D2371" s="184" t="s">
        <v>1579</v>
      </c>
      <c r="E2371" s="191">
        <v>42500</v>
      </c>
      <c r="F2371" s="189" t="s">
        <v>1233</v>
      </c>
      <c r="G2371" s="456" t="s">
        <v>578</v>
      </c>
      <c r="H2371" s="7" t="s">
        <v>1581</v>
      </c>
      <c r="I2371" s="256">
        <v>400</v>
      </c>
      <c r="J2371" s="256">
        <v>340.96147382386101</v>
      </c>
      <c r="K2371" s="38">
        <f t="shared" si="125"/>
        <v>136385</v>
      </c>
      <c r="L2371" s="566" t="s">
        <v>167</v>
      </c>
      <c r="M2371" s="566" t="s">
        <v>165</v>
      </c>
      <c r="N2371" s="52" t="str">
        <f>IF(AND('331-CT'!$E$7=TH!H2371,OR(L2371="331",M2371="331")),"331",IF(AND(OR(L2371="131",M2371="131"),H2371='131-CT'!$E$7),"131",""))</f>
        <v/>
      </c>
      <c r="O2371" s="857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0"/>
    </row>
    <row r="2372" spans="1:29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27"/>
        <v>5</v>
      </c>
      <c r="C2372" s="184">
        <f t="shared" si="126"/>
        <v>42500</v>
      </c>
      <c r="D2372" s="184" t="s">
        <v>1579</v>
      </c>
      <c r="E2372" s="191">
        <v>42500</v>
      </c>
      <c r="F2372" s="189" t="s">
        <v>1234</v>
      </c>
      <c r="G2372" s="456" t="s">
        <v>578</v>
      </c>
      <c r="H2372" s="7" t="s">
        <v>1581</v>
      </c>
      <c r="I2372" s="256">
        <v>780</v>
      </c>
      <c r="J2372" s="256">
        <v>255.72110536789575</v>
      </c>
      <c r="K2372" s="38">
        <f t="shared" si="125"/>
        <v>199462</v>
      </c>
      <c r="L2372" s="566" t="s">
        <v>167</v>
      </c>
      <c r="M2372" s="566" t="s">
        <v>165</v>
      </c>
      <c r="N2372" s="52" t="str">
        <f>IF(AND('331-CT'!$E$7=TH!H2372,OR(L2372="331",M2372="331")),"331",IF(AND(OR(L2372="131",M2372="131"),H2372='131-CT'!$E$7),"131",""))</f>
        <v/>
      </c>
      <c r="O2372" s="857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0"/>
    </row>
    <row r="2373" spans="1:29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27"/>
        <v>5</v>
      </c>
      <c r="C2373" s="184">
        <f t="shared" si="126"/>
        <v>42500</v>
      </c>
      <c r="D2373" s="184" t="s">
        <v>1579</v>
      </c>
      <c r="E2373" s="191">
        <v>42500</v>
      </c>
      <c r="F2373" s="189" t="s">
        <v>1048</v>
      </c>
      <c r="G2373" s="456" t="s">
        <v>580</v>
      </c>
      <c r="H2373" s="7" t="s">
        <v>1581</v>
      </c>
      <c r="I2373" s="256">
        <v>48</v>
      </c>
      <c r="J2373" s="256">
        <v>48587.010019900197</v>
      </c>
      <c r="K2373" s="38">
        <f t="shared" si="125"/>
        <v>2332176</v>
      </c>
      <c r="L2373" s="566" t="s">
        <v>167</v>
      </c>
      <c r="M2373" s="566" t="s">
        <v>165</v>
      </c>
      <c r="N2373" s="52" t="str">
        <f>IF(AND('331-CT'!$E$7=TH!H2373,OR(L2373="331",M2373="331")),"331",IF(AND(OR(L2373="131",M2373="131"),H2373='131-CT'!$E$7),"131",""))</f>
        <v/>
      </c>
      <c r="O2373" s="857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0"/>
    </row>
    <row r="2374" spans="1:29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27"/>
        <v>5</v>
      </c>
      <c r="C2374" s="184">
        <f t="shared" si="126"/>
        <v>42500</v>
      </c>
      <c r="D2374" s="184" t="s">
        <v>1579</v>
      </c>
      <c r="E2374" s="191">
        <v>42500</v>
      </c>
      <c r="F2374" s="189" t="s">
        <v>1025</v>
      </c>
      <c r="G2374" s="456" t="s">
        <v>580</v>
      </c>
      <c r="H2374" s="7" t="s">
        <v>1581</v>
      </c>
      <c r="I2374" s="256">
        <v>500</v>
      </c>
      <c r="J2374" s="256">
        <v>14320.381900602162</v>
      </c>
      <c r="K2374" s="38">
        <f t="shared" si="125"/>
        <v>7160191</v>
      </c>
      <c r="L2374" s="566" t="s">
        <v>167</v>
      </c>
      <c r="M2374" s="566" t="s">
        <v>165</v>
      </c>
      <c r="N2374" s="52" t="str">
        <f>IF(AND('331-CT'!$E$7=TH!H2374,OR(L2374="331",M2374="331")),"331",IF(AND(OR(L2374="131",M2374="131"),H2374='131-CT'!$E$7),"131",""))</f>
        <v/>
      </c>
      <c r="O2374" s="857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0"/>
    </row>
    <row r="2375" spans="1:29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27"/>
        <v>5</v>
      </c>
      <c r="C2375" s="184">
        <f t="shared" si="126"/>
        <v>42500</v>
      </c>
      <c r="D2375" s="184" t="s">
        <v>1579</v>
      </c>
      <c r="E2375" s="191">
        <v>42500</v>
      </c>
      <c r="F2375" s="189" t="s">
        <v>1049</v>
      </c>
      <c r="G2375" s="456" t="s">
        <v>580</v>
      </c>
      <c r="H2375" s="7" t="s">
        <v>1581</v>
      </c>
      <c r="I2375" s="256">
        <v>50</v>
      </c>
      <c r="J2375" s="256">
        <v>41512.059438055083</v>
      </c>
      <c r="K2375" s="38">
        <f t="shared" si="125"/>
        <v>2075603</v>
      </c>
      <c r="L2375" s="566" t="s">
        <v>167</v>
      </c>
      <c r="M2375" s="566" t="s">
        <v>165</v>
      </c>
      <c r="N2375" s="52" t="str">
        <f>IF(AND('331-CT'!$E$7=TH!H2375,OR(L2375="331",M2375="331")),"331",IF(AND(OR(L2375="131",M2375="131"),H2375='131-CT'!$E$7),"131",""))</f>
        <v/>
      </c>
      <c r="O2375" s="857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0"/>
    </row>
    <row r="2376" spans="1:29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27"/>
        <v>5</v>
      </c>
      <c r="C2376" s="184">
        <f t="shared" si="126"/>
        <v>42500</v>
      </c>
      <c r="D2376" s="184" t="s">
        <v>1579</v>
      </c>
      <c r="E2376" s="191">
        <v>42500</v>
      </c>
      <c r="F2376" s="189" t="s">
        <v>1050</v>
      </c>
      <c r="G2376" s="456" t="s">
        <v>580</v>
      </c>
      <c r="H2376" s="7" t="s">
        <v>1581</v>
      </c>
      <c r="I2376" s="256">
        <v>23</v>
      </c>
      <c r="J2376" s="256">
        <v>65720.324079549217</v>
      </c>
      <c r="K2376" s="38">
        <f t="shared" si="125"/>
        <v>1511567</v>
      </c>
      <c r="L2376" s="566" t="s">
        <v>167</v>
      </c>
      <c r="M2376" s="566" t="s">
        <v>165</v>
      </c>
      <c r="N2376" s="52" t="str">
        <f>IF(AND('331-CT'!$E$7=TH!H2376,OR(L2376="331",M2376="331")),"331",IF(AND(OR(L2376="131",M2376="131"),H2376='131-CT'!$E$7),"131",""))</f>
        <v/>
      </c>
      <c r="O2376" s="857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0"/>
    </row>
    <row r="2377" spans="1:29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27"/>
        <v>5</v>
      </c>
      <c r="C2377" s="184">
        <f t="shared" si="126"/>
        <v>42500</v>
      </c>
      <c r="D2377" s="184" t="s">
        <v>1579</v>
      </c>
      <c r="E2377" s="191">
        <v>42500</v>
      </c>
      <c r="F2377" s="189" t="s">
        <v>1051</v>
      </c>
      <c r="G2377" s="456" t="s">
        <v>580</v>
      </c>
      <c r="H2377" s="7" t="s">
        <v>1581</v>
      </c>
      <c r="I2377" s="256">
        <v>5</v>
      </c>
      <c r="J2377" s="256">
        <v>56514.364286304961</v>
      </c>
      <c r="K2377" s="38">
        <f t="shared" si="125"/>
        <v>282572</v>
      </c>
      <c r="L2377" s="566" t="s">
        <v>167</v>
      </c>
      <c r="M2377" s="566" t="s">
        <v>165</v>
      </c>
      <c r="N2377" s="52" t="str">
        <f>IF(AND('331-CT'!$E$7=TH!H2377,OR(L2377="331",M2377="331")),"331",IF(AND(OR(L2377="131",M2377="131"),H2377='131-CT'!$E$7),"131",""))</f>
        <v/>
      </c>
      <c r="O2377" s="857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0"/>
    </row>
    <row r="2378" spans="1:29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27"/>
        <v>5</v>
      </c>
      <c r="C2378" s="184">
        <f t="shared" si="126"/>
        <v>42500</v>
      </c>
      <c r="D2378" s="184" t="s">
        <v>1579</v>
      </c>
      <c r="E2378" s="191">
        <v>42500</v>
      </c>
      <c r="F2378" s="189" t="s">
        <v>1052</v>
      </c>
      <c r="G2378" s="456" t="s">
        <v>580</v>
      </c>
      <c r="H2378" s="7" t="s">
        <v>1581</v>
      </c>
      <c r="I2378" s="256">
        <v>50</v>
      </c>
      <c r="J2378" s="256">
        <v>50462.298125931433</v>
      </c>
      <c r="K2378" s="38">
        <f t="shared" si="125"/>
        <v>2523115</v>
      </c>
      <c r="L2378" s="566" t="s">
        <v>167</v>
      </c>
      <c r="M2378" s="566" t="s">
        <v>165</v>
      </c>
      <c r="N2378" s="52" t="str">
        <f>IF(AND('331-CT'!$E$7=TH!H2378,OR(L2378="331",M2378="331")),"331",IF(AND(OR(L2378="131",M2378="131"),H2378='131-CT'!$E$7),"131",""))</f>
        <v/>
      </c>
      <c r="O2378" s="857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0"/>
    </row>
    <row r="2379" spans="1:29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27"/>
        <v>5</v>
      </c>
      <c r="C2379" s="184">
        <f t="shared" si="126"/>
        <v>42500</v>
      </c>
      <c r="D2379" s="184" t="s">
        <v>1579</v>
      </c>
      <c r="E2379" s="191">
        <v>42500</v>
      </c>
      <c r="F2379" s="189" t="s">
        <v>1053</v>
      </c>
      <c r="G2379" s="456" t="s">
        <v>580</v>
      </c>
      <c r="H2379" s="7" t="s">
        <v>1581</v>
      </c>
      <c r="I2379" s="256">
        <v>50</v>
      </c>
      <c r="J2379" s="256">
        <v>79444.023400959617</v>
      </c>
      <c r="K2379" s="38">
        <f t="shared" si="125"/>
        <v>3972201</v>
      </c>
      <c r="L2379" s="566" t="s">
        <v>167</v>
      </c>
      <c r="M2379" s="566" t="s">
        <v>165</v>
      </c>
      <c r="N2379" s="52" t="str">
        <f>IF(AND('331-CT'!$E$7=TH!H2379,OR(L2379="331",M2379="331")),"331",IF(AND(OR(L2379="131",M2379="131"),H2379='131-CT'!$E$7),"131",""))</f>
        <v/>
      </c>
      <c r="O2379" s="857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0"/>
    </row>
    <row r="2380" spans="1:29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27"/>
        <v>5</v>
      </c>
      <c r="C2380" s="184">
        <f t="shared" si="126"/>
        <v>42500</v>
      </c>
      <c r="D2380" s="184" t="s">
        <v>1579</v>
      </c>
      <c r="E2380" s="191">
        <v>42500</v>
      </c>
      <c r="F2380" s="189" t="s">
        <v>1054</v>
      </c>
      <c r="G2380" s="456" t="s">
        <v>580</v>
      </c>
      <c r="H2380" s="7" t="s">
        <v>1581</v>
      </c>
      <c r="I2380" s="256">
        <v>49</v>
      </c>
      <c r="J2380" s="256">
        <v>58730.613866160056</v>
      </c>
      <c r="K2380" s="38">
        <f t="shared" si="125"/>
        <v>2877800</v>
      </c>
      <c r="L2380" s="566" t="s">
        <v>167</v>
      </c>
      <c r="M2380" s="566" t="s">
        <v>165</v>
      </c>
      <c r="N2380" s="52" t="str">
        <f>IF(AND('331-CT'!$E$7=TH!H2380,OR(L2380="331",M2380="331")),"331",IF(AND(OR(L2380="131",M2380="131"),H2380='131-CT'!$E$7),"131",""))</f>
        <v/>
      </c>
      <c r="O2380" s="857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0"/>
      <c r="AC2380" s="557"/>
    </row>
    <row r="2381" spans="1:29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27"/>
        <v>5</v>
      </c>
      <c r="C2381" s="184">
        <f t="shared" si="126"/>
        <v>42502</v>
      </c>
      <c r="D2381" s="184" t="s">
        <v>1579</v>
      </c>
      <c r="E2381" s="191">
        <v>42502</v>
      </c>
      <c r="F2381" s="189" t="s">
        <v>675</v>
      </c>
      <c r="G2381" s="456" t="s">
        <v>582</v>
      </c>
      <c r="H2381" s="7" t="s">
        <v>1581</v>
      </c>
      <c r="I2381" s="256">
        <v>50</v>
      </c>
      <c r="J2381" s="256">
        <v>9717.402003980038</v>
      </c>
      <c r="K2381" s="38">
        <f t="shared" si="125"/>
        <v>485870</v>
      </c>
      <c r="L2381" s="566" t="s">
        <v>167</v>
      </c>
      <c r="M2381" s="566" t="s">
        <v>165</v>
      </c>
      <c r="N2381" s="52" t="str">
        <f>IF(AND('331-CT'!$E$7=TH!H2381,OR(L2381="331",M2381="331")),"331",IF(AND(OR(L2381="131",M2381="131"),H2381='131-CT'!$E$7),"131",""))</f>
        <v/>
      </c>
      <c r="O2381" s="857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0"/>
      <c r="AC2381" s="557"/>
    </row>
    <row r="2382" spans="1:29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27"/>
        <v>5</v>
      </c>
      <c r="C2382" s="184">
        <f t="shared" si="126"/>
        <v>42502</v>
      </c>
      <c r="D2382" s="184" t="s">
        <v>1579</v>
      </c>
      <c r="E2382" s="191">
        <v>42502</v>
      </c>
      <c r="F2382" s="189" t="s">
        <v>675</v>
      </c>
      <c r="G2382" s="456" t="s">
        <v>582</v>
      </c>
      <c r="H2382" s="7" t="s">
        <v>1581</v>
      </c>
      <c r="I2382" s="256">
        <v>1019</v>
      </c>
      <c r="J2382" s="256">
        <v>9717.402003980038</v>
      </c>
      <c r="K2382" s="38">
        <f t="shared" si="125"/>
        <v>9902033</v>
      </c>
      <c r="L2382" s="566" t="s">
        <v>167</v>
      </c>
      <c r="M2382" s="566" t="s">
        <v>165</v>
      </c>
      <c r="N2382" s="52" t="str">
        <f>IF(AND('331-CT'!$E$7=TH!H2382,OR(L2382="331",M2382="331")),"331",IF(AND(OR(L2382="131",M2382="131"),H2382='131-CT'!$E$7),"131",""))</f>
        <v/>
      </c>
      <c r="O2382" s="857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0"/>
    </row>
    <row r="2383" spans="1:29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27"/>
        <v>5</v>
      </c>
      <c r="C2383" s="184">
        <f t="shared" si="126"/>
        <v>42502</v>
      </c>
      <c r="D2383" s="184" t="s">
        <v>1579</v>
      </c>
      <c r="E2383" s="191">
        <v>42502</v>
      </c>
      <c r="F2383" s="189" t="s">
        <v>723</v>
      </c>
      <c r="G2383" s="456" t="s">
        <v>582</v>
      </c>
      <c r="H2383" s="7" t="s">
        <v>1581</v>
      </c>
      <c r="I2383" s="256">
        <v>2138</v>
      </c>
      <c r="J2383" s="256">
        <v>767.16331610368729</v>
      </c>
      <c r="K2383" s="38">
        <f t="shared" si="125"/>
        <v>1640195</v>
      </c>
      <c r="L2383" s="566" t="s">
        <v>167</v>
      </c>
      <c r="M2383" s="566" t="s">
        <v>165</v>
      </c>
      <c r="N2383" s="52" t="str">
        <f>IF(AND('331-CT'!$E$7=TH!H2383,OR(L2383="331",M2383="331")),"331",IF(AND(OR(L2383="131",M2383="131"),H2383='131-CT'!$E$7),"131",""))</f>
        <v/>
      </c>
      <c r="O2383" s="857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0"/>
    </row>
    <row r="2384" spans="1:29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27"/>
        <v>5</v>
      </c>
      <c r="C2384" s="184">
        <f t="shared" si="126"/>
        <v>42502</v>
      </c>
      <c r="D2384" s="184" t="s">
        <v>1579</v>
      </c>
      <c r="E2384" s="191">
        <v>42502</v>
      </c>
      <c r="F2384" s="189" t="s">
        <v>419</v>
      </c>
      <c r="G2384" s="456" t="s">
        <v>583</v>
      </c>
      <c r="H2384" s="7" t="s">
        <v>1581</v>
      </c>
      <c r="I2384" s="256">
        <v>1236</v>
      </c>
      <c r="J2384" s="256">
        <v>6989.7102133891503</v>
      </c>
      <c r="K2384" s="38">
        <f t="shared" si="125"/>
        <v>8639282</v>
      </c>
      <c r="L2384" s="566" t="s">
        <v>167</v>
      </c>
      <c r="M2384" s="566" t="s">
        <v>165</v>
      </c>
      <c r="N2384" s="52" t="str">
        <f>IF(AND('331-CT'!$E$7=TH!H2384,OR(L2384="331",M2384="331")),"331",IF(AND(OR(L2384="131",M2384="131"),H2384='131-CT'!$E$7),"131",""))</f>
        <v/>
      </c>
      <c r="O2384" s="857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0"/>
    </row>
    <row r="2385" spans="1:29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27"/>
        <v>5</v>
      </c>
      <c r="C2385" s="184">
        <f t="shared" si="126"/>
        <v>42502</v>
      </c>
      <c r="D2385" s="184" t="s">
        <v>1579</v>
      </c>
      <c r="E2385" s="191">
        <v>42502</v>
      </c>
      <c r="F2385" s="189" t="s">
        <v>444</v>
      </c>
      <c r="G2385" s="456" t="s">
        <v>583</v>
      </c>
      <c r="H2385" s="7" t="s">
        <v>1581</v>
      </c>
      <c r="I2385" s="256">
        <v>300</v>
      </c>
      <c r="J2385" s="256">
        <v>7756.8735294928383</v>
      </c>
      <c r="K2385" s="38">
        <f t="shared" si="125"/>
        <v>2327062</v>
      </c>
      <c r="L2385" s="566" t="s">
        <v>167</v>
      </c>
      <c r="M2385" s="566" t="s">
        <v>165</v>
      </c>
      <c r="N2385" s="52" t="str">
        <f>IF(AND('331-CT'!$E$7=TH!H2385,OR(L2385="331",M2385="331")),"331",IF(AND(OR(L2385="131",M2385="131"),H2385='131-CT'!$E$7),"131",""))</f>
        <v/>
      </c>
      <c r="O2385" s="857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0"/>
    </row>
    <row r="2386" spans="1:29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27"/>
        <v>5</v>
      </c>
      <c r="C2386" s="184">
        <f t="shared" si="126"/>
        <v>42502</v>
      </c>
      <c r="D2386" s="184" t="s">
        <v>1579</v>
      </c>
      <c r="E2386" s="191">
        <v>42502</v>
      </c>
      <c r="F2386" s="189" t="s">
        <v>484</v>
      </c>
      <c r="G2386" s="456" t="s">
        <v>583</v>
      </c>
      <c r="H2386" s="7" t="s">
        <v>1581</v>
      </c>
      <c r="I2386" s="256">
        <v>310</v>
      </c>
      <c r="J2386" s="256">
        <v>16366.150743545328</v>
      </c>
      <c r="K2386" s="38">
        <f t="shared" si="125"/>
        <v>5073507</v>
      </c>
      <c r="L2386" s="566" t="s">
        <v>167</v>
      </c>
      <c r="M2386" s="566" t="s">
        <v>165</v>
      </c>
      <c r="N2386" s="52" t="str">
        <f>IF(AND('331-CT'!$E$7=TH!H2386,OR(L2386="331",M2386="331")),"331",IF(AND(OR(L2386="131",M2386="131"),H2386='131-CT'!$E$7),"131",""))</f>
        <v/>
      </c>
      <c r="O2386" s="857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0"/>
    </row>
    <row r="2387" spans="1:29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27"/>
        <v>5</v>
      </c>
      <c r="C2387" s="184">
        <f t="shared" si="126"/>
        <v>42503</v>
      </c>
      <c r="D2387" s="184" t="s">
        <v>1579</v>
      </c>
      <c r="E2387" s="191">
        <v>42503</v>
      </c>
      <c r="F2387" s="189" t="s">
        <v>668</v>
      </c>
      <c r="G2387" s="456" t="s">
        <v>584</v>
      </c>
      <c r="H2387" s="7" t="s">
        <v>1581</v>
      </c>
      <c r="I2387" s="256">
        <v>307</v>
      </c>
      <c r="J2387" s="256">
        <v>6819.2294764772205</v>
      </c>
      <c r="K2387" s="38">
        <f t="shared" ref="K2387:K2450" si="128">ROUND(I2387*J2387,0)</f>
        <v>2093503</v>
      </c>
      <c r="L2387" s="566" t="s">
        <v>167</v>
      </c>
      <c r="M2387" s="566" t="s">
        <v>165</v>
      </c>
      <c r="N2387" s="52" t="str">
        <f>IF(AND('331-CT'!$E$7=TH!H2387,OR(L2387="331",M2387="331")),"331",IF(AND(OR(L2387="131",M2387="131"),H2387='131-CT'!$E$7),"131",""))</f>
        <v/>
      </c>
      <c r="O2387" s="857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0"/>
    </row>
    <row r="2388" spans="1:29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27"/>
        <v>5</v>
      </c>
      <c r="C2388" s="184">
        <f t="shared" si="126"/>
        <v>42503</v>
      </c>
      <c r="D2388" s="184" t="s">
        <v>1579</v>
      </c>
      <c r="E2388" s="191">
        <v>42503</v>
      </c>
      <c r="F2388" s="189" t="s">
        <v>669</v>
      </c>
      <c r="G2388" s="456" t="s">
        <v>584</v>
      </c>
      <c r="H2388" s="7" t="s">
        <v>1581</v>
      </c>
      <c r="I2388" s="256">
        <v>302</v>
      </c>
      <c r="J2388" s="256">
        <v>7927.3542664047691</v>
      </c>
      <c r="K2388" s="38">
        <f t="shared" si="128"/>
        <v>2394061</v>
      </c>
      <c r="L2388" s="566" t="s">
        <v>167</v>
      </c>
      <c r="M2388" s="566" t="s">
        <v>165</v>
      </c>
      <c r="N2388" s="52" t="str">
        <f>IF(AND('331-CT'!$E$7=TH!H2388,OR(L2388="331",M2388="331")),"331",IF(AND(OR(L2388="131",M2388="131"),H2388='131-CT'!$E$7),"131",""))</f>
        <v/>
      </c>
      <c r="O2388" s="857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0"/>
      <c r="AC2388" s="557"/>
    </row>
    <row r="2389" spans="1:29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27"/>
        <v>5</v>
      </c>
      <c r="C2389" s="184">
        <f t="shared" si="126"/>
        <v>42503</v>
      </c>
      <c r="D2389" s="184" t="s">
        <v>1579</v>
      </c>
      <c r="E2389" s="191">
        <v>42503</v>
      </c>
      <c r="F2389" s="189" t="s">
        <v>670</v>
      </c>
      <c r="G2389" s="456" t="s">
        <v>584</v>
      </c>
      <c r="H2389" s="7" t="s">
        <v>1581</v>
      </c>
      <c r="I2389" s="256">
        <v>396</v>
      </c>
      <c r="J2389" s="256">
        <v>14235.141532146197</v>
      </c>
      <c r="K2389" s="38">
        <f t="shared" si="128"/>
        <v>5637116</v>
      </c>
      <c r="L2389" s="566" t="s">
        <v>167</v>
      </c>
      <c r="M2389" s="566" t="s">
        <v>165</v>
      </c>
      <c r="N2389" s="52" t="str">
        <f>IF(AND('331-CT'!$E$7=TH!H2389,OR(L2389="331",M2389="331")),"331",IF(AND(OR(L2389="131",M2389="131"),H2389='131-CT'!$E$7),"131",""))</f>
        <v/>
      </c>
      <c r="O2389" s="857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0"/>
    </row>
    <row r="2390" spans="1:29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27"/>
        <v>5</v>
      </c>
      <c r="C2390" s="184">
        <f t="shared" si="126"/>
        <v>42503</v>
      </c>
      <c r="D2390" s="184" t="s">
        <v>1579</v>
      </c>
      <c r="E2390" s="191">
        <v>42503</v>
      </c>
      <c r="F2390" s="189" t="s">
        <v>1055</v>
      </c>
      <c r="G2390" s="456" t="s">
        <v>585</v>
      </c>
      <c r="H2390" s="7" t="s">
        <v>1581</v>
      </c>
      <c r="I2390" s="256">
        <v>592</v>
      </c>
      <c r="J2390" s="256">
        <v>7842.1138979488032</v>
      </c>
      <c r="K2390" s="38">
        <f t="shared" si="128"/>
        <v>4642531</v>
      </c>
      <c r="L2390" s="566" t="s">
        <v>167</v>
      </c>
      <c r="M2390" s="566" t="s">
        <v>165</v>
      </c>
      <c r="N2390" s="52" t="str">
        <f>IF(AND('331-CT'!$E$7=TH!H2390,OR(L2390="331",M2390="331")),"331",IF(AND(OR(L2390="131",M2390="131"),H2390='131-CT'!$E$7),"131",""))</f>
        <v/>
      </c>
      <c r="O2390" s="857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0"/>
      <c r="AC2390" s="557"/>
    </row>
    <row r="2391" spans="1:29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27"/>
        <v>5</v>
      </c>
      <c r="C2391" s="184">
        <f t="shared" si="126"/>
        <v>42507</v>
      </c>
      <c r="D2391" s="184" t="s">
        <v>1579</v>
      </c>
      <c r="E2391" s="191">
        <v>42507</v>
      </c>
      <c r="F2391" s="189" t="s">
        <v>510</v>
      </c>
      <c r="G2391" s="456" t="s">
        <v>589</v>
      </c>
      <c r="H2391" s="7" t="s">
        <v>1581</v>
      </c>
      <c r="I2391" s="256">
        <v>360</v>
      </c>
      <c r="J2391" s="256">
        <v>10825.526793907587</v>
      </c>
      <c r="K2391" s="38">
        <f t="shared" si="128"/>
        <v>3897190</v>
      </c>
      <c r="L2391" s="566" t="s">
        <v>167</v>
      </c>
      <c r="M2391" s="566" t="s">
        <v>165</v>
      </c>
      <c r="N2391" s="52" t="str">
        <f>IF(AND('331-CT'!$E$7=TH!H2391,OR(L2391="331",M2391="331")),"331",IF(AND(OR(L2391="131",M2391="131"),H2391='131-CT'!$E$7),"131",""))</f>
        <v/>
      </c>
      <c r="O2391" s="857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0"/>
      <c r="AC2391" s="557"/>
    </row>
    <row r="2392" spans="1:29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27"/>
        <v>5</v>
      </c>
      <c r="C2392" s="184">
        <f t="shared" si="126"/>
        <v>42507</v>
      </c>
      <c r="D2392" s="184" t="s">
        <v>1579</v>
      </c>
      <c r="E2392" s="191">
        <v>42507</v>
      </c>
      <c r="F2392" s="189" t="s">
        <v>692</v>
      </c>
      <c r="G2392" s="456" t="s">
        <v>589</v>
      </c>
      <c r="H2392" s="7" t="s">
        <v>1581</v>
      </c>
      <c r="I2392" s="256">
        <v>1000</v>
      </c>
      <c r="J2392" s="256">
        <v>6222.5468972854633</v>
      </c>
      <c r="K2392" s="38">
        <f t="shared" si="128"/>
        <v>6222547</v>
      </c>
      <c r="L2392" s="566" t="s">
        <v>167</v>
      </c>
      <c r="M2392" s="566" t="s">
        <v>165</v>
      </c>
      <c r="N2392" s="52" t="str">
        <f>IF(AND('331-CT'!$E$7=TH!H2392,OR(L2392="331",M2392="331")),"331",IF(AND(OR(L2392="131",M2392="131"),H2392='131-CT'!$E$7),"131",""))</f>
        <v/>
      </c>
      <c r="O2392" s="857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0"/>
      <c r="AC2392" s="557"/>
    </row>
    <row r="2393" spans="1:29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27"/>
        <v>5</v>
      </c>
      <c r="C2393" s="184">
        <f t="shared" si="126"/>
        <v>42507</v>
      </c>
      <c r="D2393" s="184" t="s">
        <v>1579</v>
      </c>
      <c r="E2393" s="191">
        <v>42507</v>
      </c>
      <c r="F2393" s="189" t="s">
        <v>1079</v>
      </c>
      <c r="G2393" s="456" t="s">
        <v>589</v>
      </c>
      <c r="H2393" s="7" t="s">
        <v>1581</v>
      </c>
      <c r="I2393" s="256">
        <v>55</v>
      </c>
      <c r="J2393" s="256">
        <v>9973.1231093479346</v>
      </c>
      <c r="K2393" s="38">
        <f t="shared" si="128"/>
        <v>548522</v>
      </c>
      <c r="L2393" s="566" t="s">
        <v>167</v>
      </c>
      <c r="M2393" s="566" t="s">
        <v>165</v>
      </c>
      <c r="N2393" s="52" t="str">
        <f>IF(AND('331-CT'!$E$7=TH!H2393,OR(L2393="331",M2393="331")),"331",IF(AND(OR(L2393="131",M2393="131"),H2393='131-CT'!$E$7),"131",""))</f>
        <v/>
      </c>
      <c r="O2393" s="857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0"/>
    </row>
    <row r="2394" spans="1:29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27"/>
        <v>5</v>
      </c>
      <c r="C2394" s="184">
        <f t="shared" si="126"/>
        <v>42507</v>
      </c>
      <c r="D2394" s="184" t="s">
        <v>1579</v>
      </c>
      <c r="E2394" s="191">
        <v>42507</v>
      </c>
      <c r="F2394" s="189" t="s">
        <v>947</v>
      </c>
      <c r="G2394" s="456" t="s">
        <v>589</v>
      </c>
      <c r="H2394" s="7" t="s">
        <v>1581</v>
      </c>
      <c r="I2394" s="256">
        <v>110</v>
      </c>
      <c r="J2394" s="256">
        <v>11251.728636187414</v>
      </c>
      <c r="K2394" s="38">
        <f t="shared" si="128"/>
        <v>1237690</v>
      </c>
      <c r="L2394" s="566" t="s">
        <v>167</v>
      </c>
      <c r="M2394" s="566" t="s">
        <v>165</v>
      </c>
      <c r="N2394" s="52" t="str">
        <f>IF(AND('331-CT'!$E$7=TH!H2394,OR(L2394="331",M2394="331")),"331",IF(AND(OR(L2394="131",M2394="131"),H2394='131-CT'!$E$7),"131",""))</f>
        <v/>
      </c>
      <c r="O2394" s="857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0"/>
    </row>
    <row r="2395" spans="1:29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27"/>
        <v>5</v>
      </c>
      <c r="C2395" s="184">
        <f t="shared" si="126"/>
        <v>42507</v>
      </c>
      <c r="D2395" s="184" t="s">
        <v>1579</v>
      </c>
      <c r="E2395" s="191">
        <v>42507</v>
      </c>
      <c r="F2395" s="189" t="s">
        <v>510</v>
      </c>
      <c r="G2395" s="456" t="s">
        <v>590</v>
      </c>
      <c r="H2395" s="7" t="s">
        <v>1581</v>
      </c>
      <c r="I2395" s="256">
        <v>237</v>
      </c>
      <c r="J2395" s="256">
        <v>10825.526793907587</v>
      </c>
      <c r="K2395" s="38">
        <f t="shared" si="128"/>
        <v>2565650</v>
      </c>
      <c r="L2395" s="566" t="s">
        <v>167</v>
      </c>
      <c r="M2395" s="566" t="s">
        <v>165</v>
      </c>
      <c r="N2395" s="52" t="str">
        <f>IF(AND('331-CT'!$E$7=TH!H2395,OR(L2395="331",M2395="331")),"331",IF(AND(OR(L2395="131",M2395="131"),H2395='131-CT'!$E$7),"131",""))</f>
        <v/>
      </c>
      <c r="O2395" s="857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0"/>
    </row>
    <row r="2396" spans="1:29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27"/>
        <v>5</v>
      </c>
      <c r="C2396" s="184">
        <f t="shared" si="126"/>
        <v>42507</v>
      </c>
      <c r="D2396" s="184" t="s">
        <v>1579</v>
      </c>
      <c r="E2396" s="191">
        <v>42507</v>
      </c>
      <c r="F2396" s="189" t="s">
        <v>675</v>
      </c>
      <c r="G2396" s="456" t="s">
        <v>590</v>
      </c>
      <c r="H2396" s="7" t="s">
        <v>1581</v>
      </c>
      <c r="I2396" s="256">
        <v>55</v>
      </c>
      <c r="J2396" s="256">
        <v>9717.402003980038</v>
      </c>
      <c r="K2396" s="38">
        <f t="shared" si="128"/>
        <v>534457</v>
      </c>
      <c r="L2396" s="566" t="s">
        <v>167</v>
      </c>
      <c r="M2396" s="566" t="s">
        <v>165</v>
      </c>
      <c r="N2396" s="52" t="str">
        <f>IF(AND('331-CT'!$E$7=TH!H2396,OR(L2396="331",M2396="331")),"331",IF(AND(OR(L2396="131",M2396="131"),H2396='131-CT'!$E$7),"131",""))</f>
        <v/>
      </c>
      <c r="O2396" s="857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0"/>
    </row>
    <row r="2397" spans="1:29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27"/>
        <v>5</v>
      </c>
      <c r="C2397" s="184">
        <f t="shared" si="126"/>
        <v>42507</v>
      </c>
      <c r="D2397" s="184" t="s">
        <v>1579</v>
      </c>
      <c r="E2397" s="191">
        <v>42507</v>
      </c>
      <c r="F2397" s="189" t="s">
        <v>504</v>
      </c>
      <c r="G2397" s="456" t="s">
        <v>590</v>
      </c>
      <c r="H2397" s="7" t="s">
        <v>1581</v>
      </c>
      <c r="I2397" s="256">
        <v>44</v>
      </c>
      <c r="J2397" s="256">
        <v>10910.767162363552</v>
      </c>
      <c r="K2397" s="38">
        <f t="shared" si="128"/>
        <v>480074</v>
      </c>
      <c r="L2397" s="566" t="s">
        <v>167</v>
      </c>
      <c r="M2397" s="566" t="s">
        <v>165</v>
      </c>
      <c r="N2397" s="52" t="str">
        <f>IF(AND('331-CT'!$E$7=TH!H2397,OR(L2397="331",M2397="331")),"331",IF(AND(OR(L2397="131",M2397="131"),H2397='131-CT'!$E$7),"131",""))</f>
        <v/>
      </c>
      <c r="O2397" s="857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0"/>
    </row>
    <row r="2398" spans="1:29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27"/>
        <v>5</v>
      </c>
      <c r="C2398" s="184">
        <f t="shared" ref="C2398:C2461" si="129">E2398</f>
        <v>42507</v>
      </c>
      <c r="D2398" s="184" t="s">
        <v>1579</v>
      </c>
      <c r="E2398" s="191">
        <v>42507</v>
      </c>
      <c r="F2398" s="189" t="s">
        <v>928</v>
      </c>
      <c r="G2398" s="456" t="s">
        <v>590</v>
      </c>
      <c r="H2398" s="7" t="s">
        <v>1581</v>
      </c>
      <c r="I2398" s="256">
        <v>135</v>
      </c>
      <c r="J2398" s="256">
        <v>12359.853426114962</v>
      </c>
      <c r="K2398" s="38">
        <f t="shared" si="128"/>
        <v>1668580</v>
      </c>
      <c r="L2398" s="566" t="s">
        <v>167</v>
      </c>
      <c r="M2398" s="566" t="s">
        <v>165</v>
      </c>
      <c r="N2398" s="52" t="str">
        <f>IF(AND('331-CT'!$E$7=TH!H2398,OR(L2398="331",M2398="331")),"331",IF(AND(OR(L2398="131",M2398="131"),H2398='131-CT'!$E$7),"131",""))</f>
        <v/>
      </c>
      <c r="O2398" s="857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0"/>
    </row>
    <row r="2399" spans="1:29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27"/>
        <v>5</v>
      </c>
      <c r="C2399" s="184">
        <f t="shared" si="129"/>
        <v>42507</v>
      </c>
      <c r="D2399" s="184" t="s">
        <v>1579</v>
      </c>
      <c r="E2399" s="191">
        <v>42507</v>
      </c>
      <c r="F2399" s="189" t="s">
        <v>448</v>
      </c>
      <c r="G2399" s="456" t="s">
        <v>591</v>
      </c>
      <c r="H2399" s="7" t="s">
        <v>1581</v>
      </c>
      <c r="I2399" s="256">
        <v>103</v>
      </c>
      <c r="J2399" s="256">
        <v>61799.267130574808</v>
      </c>
      <c r="K2399" s="38">
        <f t="shared" si="128"/>
        <v>6365325</v>
      </c>
      <c r="L2399" s="566" t="s">
        <v>167</v>
      </c>
      <c r="M2399" s="566" t="s">
        <v>165</v>
      </c>
      <c r="N2399" s="52" t="str">
        <f>IF(AND('331-CT'!$E$7=TH!H2399,OR(L2399="331",M2399="331")),"331",IF(AND(OR(L2399="131",M2399="131"),H2399='131-CT'!$E$7),"131",""))</f>
        <v/>
      </c>
      <c r="O2399" s="857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0"/>
    </row>
    <row r="2400" spans="1:29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127"/>
        <v>5</v>
      </c>
      <c r="C2400" s="184">
        <f t="shared" si="129"/>
        <v>42507</v>
      </c>
      <c r="D2400" s="184" t="s">
        <v>1579</v>
      </c>
      <c r="E2400" s="191">
        <v>42507</v>
      </c>
      <c r="F2400" s="189" t="s">
        <v>943</v>
      </c>
      <c r="G2400" s="456" t="s">
        <v>591</v>
      </c>
      <c r="H2400" s="7" t="s">
        <v>1581</v>
      </c>
      <c r="I2400" s="256">
        <v>60</v>
      </c>
      <c r="J2400" s="256">
        <v>64441.718552709732</v>
      </c>
      <c r="K2400" s="38">
        <f t="shared" si="128"/>
        <v>3866503</v>
      </c>
      <c r="L2400" s="566" t="s">
        <v>167</v>
      </c>
      <c r="M2400" s="566" t="s">
        <v>165</v>
      </c>
      <c r="N2400" s="52" t="str">
        <f>IF(AND('331-CT'!$E$7=TH!H2400,OR(L2400="331",M2400="331")),"331",IF(AND(OR(L2400="131",M2400="131"),H2400='131-CT'!$E$7),"131",""))</f>
        <v/>
      </c>
      <c r="O2400" s="857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0"/>
      <c r="AC2400" s="557"/>
    </row>
    <row r="2401" spans="1:29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27"/>
        <v>5</v>
      </c>
      <c r="C2401" s="184">
        <f t="shared" si="129"/>
        <v>42507</v>
      </c>
      <c r="D2401" s="184" t="s">
        <v>1579</v>
      </c>
      <c r="E2401" s="191">
        <v>42507</v>
      </c>
      <c r="F2401" s="189" t="s">
        <v>691</v>
      </c>
      <c r="G2401" s="456" t="s">
        <v>586</v>
      </c>
      <c r="H2401" s="7" t="s">
        <v>1581</v>
      </c>
      <c r="I2401" s="256">
        <v>511</v>
      </c>
      <c r="J2401" s="256">
        <v>5284.9028442698454</v>
      </c>
      <c r="K2401" s="38">
        <f t="shared" si="128"/>
        <v>2700585</v>
      </c>
      <c r="L2401" s="566" t="s">
        <v>167</v>
      </c>
      <c r="M2401" s="566" t="s">
        <v>165</v>
      </c>
      <c r="N2401" s="52" t="str">
        <f>IF(AND('331-CT'!$E$7=TH!H2401,OR(L2401="331",M2401="331")),"331",IF(AND(OR(L2401="131",M2401="131"),H2401='131-CT'!$E$7),"131",""))</f>
        <v/>
      </c>
      <c r="O2401" s="857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0"/>
      <c r="AC2401" s="557"/>
    </row>
    <row r="2402" spans="1:29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27"/>
        <v>5</v>
      </c>
      <c r="C2402" s="184">
        <f t="shared" si="129"/>
        <v>42507</v>
      </c>
      <c r="D2402" s="184" t="s">
        <v>1579</v>
      </c>
      <c r="E2402" s="191">
        <v>42507</v>
      </c>
      <c r="F2402" s="189" t="s">
        <v>692</v>
      </c>
      <c r="G2402" s="456" t="s">
        <v>586</v>
      </c>
      <c r="H2402" s="7" t="s">
        <v>1581</v>
      </c>
      <c r="I2402" s="256">
        <v>503</v>
      </c>
      <c r="J2402" s="256">
        <v>6222.5468972854633</v>
      </c>
      <c r="K2402" s="38">
        <f t="shared" si="128"/>
        <v>3129941</v>
      </c>
      <c r="L2402" s="566" t="s">
        <v>167</v>
      </c>
      <c r="M2402" s="566" t="s">
        <v>165</v>
      </c>
      <c r="N2402" s="52" t="str">
        <f>IF(AND('331-CT'!$E$7=TH!H2402,OR(L2402="331",M2402="331")),"331",IF(AND(OR(L2402="131",M2402="131"),H2402='131-CT'!$E$7),"131",""))</f>
        <v/>
      </c>
      <c r="O2402" s="857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0"/>
    </row>
    <row r="2403" spans="1:29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27"/>
        <v>5</v>
      </c>
      <c r="C2403" s="184">
        <f t="shared" si="129"/>
        <v>42507</v>
      </c>
      <c r="D2403" s="184" t="s">
        <v>1579</v>
      </c>
      <c r="E2403" s="191">
        <v>42507</v>
      </c>
      <c r="F2403" s="189" t="s">
        <v>1060</v>
      </c>
      <c r="G2403" s="456" t="s">
        <v>586</v>
      </c>
      <c r="H2403" s="7" t="s">
        <v>1581</v>
      </c>
      <c r="I2403" s="256">
        <v>960</v>
      </c>
      <c r="J2403" s="256">
        <v>4773.460633534055</v>
      </c>
      <c r="K2403" s="38">
        <f t="shared" si="128"/>
        <v>4582522</v>
      </c>
      <c r="L2403" s="566" t="s">
        <v>167</v>
      </c>
      <c r="M2403" s="566" t="s">
        <v>165</v>
      </c>
      <c r="N2403" s="52" t="str">
        <f>IF(AND('331-CT'!$E$7=TH!H2403,OR(L2403="331",M2403="331")),"331",IF(AND(OR(L2403="131",M2403="131"),H2403='131-CT'!$E$7),"131",""))</f>
        <v/>
      </c>
      <c r="O2403" s="857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0"/>
    </row>
    <row r="2404" spans="1:29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27"/>
        <v>5</v>
      </c>
      <c r="C2404" s="184">
        <f t="shared" si="129"/>
        <v>42507</v>
      </c>
      <c r="D2404" s="184" t="s">
        <v>1579</v>
      </c>
      <c r="E2404" s="191">
        <v>42507</v>
      </c>
      <c r="F2404" s="189" t="s">
        <v>998</v>
      </c>
      <c r="G2404" s="456" t="s">
        <v>588</v>
      </c>
      <c r="H2404" s="7" t="s">
        <v>1581</v>
      </c>
      <c r="I2404" s="256">
        <v>530</v>
      </c>
      <c r="J2404" s="256">
        <v>6222.5468972854633</v>
      </c>
      <c r="K2404" s="38">
        <f t="shared" si="128"/>
        <v>3297950</v>
      </c>
      <c r="L2404" s="566" t="s">
        <v>167</v>
      </c>
      <c r="M2404" s="566" t="s">
        <v>165</v>
      </c>
      <c r="N2404" s="52" t="str">
        <f>IF(AND('331-CT'!$E$7=TH!H2404,OR(L2404="331",M2404="331")),"331",IF(AND(OR(L2404="131",M2404="131"),H2404='131-CT'!$E$7),"131",""))</f>
        <v/>
      </c>
      <c r="O2404" s="857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0"/>
    </row>
    <row r="2405" spans="1:29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27"/>
        <v>5</v>
      </c>
      <c r="C2405" s="184">
        <f t="shared" si="129"/>
        <v>42508</v>
      </c>
      <c r="D2405" s="184" t="s">
        <v>1579</v>
      </c>
      <c r="E2405" s="191">
        <v>42508</v>
      </c>
      <c r="F2405" s="189" t="s">
        <v>466</v>
      </c>
      <c r="G2405" s="456" t="s">
        <v>592</v>
      </c>
      <c r="H2405" s="7" t="s">
        <v>1581</v>
      </c>
      <c r="I2405" s="256">
        <v>517</v>
      </c>
      <c r="J2405" s="256">
        <v>5796.3450550056377</v>
      </c>
      <c r="K2405" s="38">
        <f t="shared" si="128"/>
        <v>2996710</v>
      </c>
      <c r="L2405" s="566" t="s">
        <v>167</v>
      </c>
      <c r="M2405" s="566" t="s">
        <v>165</v>
      </c>
      <c r="N2405" s="52" t="str">
        <f>IF(AND('331-CT'!$E$7=TH!H2405,OR(L2405="331",M2405="331")),"331",IF(AND(OR(L2405="131",M2405="131"),H2405='131-CT'!$E$7),"131",""))</f>
        <v/>
      </c>
      <c r="O2405" s="857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0"/>
    </row>
    <row r="2406" spans="1:29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27"/>
        <v>5</v>
      </c>
      <c r="C2406" s="184">
        <f t="shared" si="129"/>
        <v>42508</v>
      </c>
      <c r="D2406" s="184" t="s">
        <v>1579</v>
      </c>
      <c r="E2406" s="191">
        <v>42508</v>
      </c>
      <c r="F2406" s="189" t="s">
        <v>438</v>
      </c>
      <c r="G2406" s="456" t="s">
        <v>593</v>
      </c>
      <c r="H2406" s="7" t="s">
        <v>1581</v>
      </c>
      <c r="I2406" s="256">
        <v>65</v>
      </c>
      <c r="J2406" s="256">
        <v>11251.728636187414</v>
      </c>
      <c r="K2406" s="38">
        <f t="shared" si="128"/>
        <v>731362</v>
      </c>
      <c r="L2406" s="566" t="s">
        <v>167</v>
      </c>
      <c r="M2406" s="566" t="s">
        <v>165</v>
      </c>
      <c r="N2406" s="52" t="str">
        <f>IF(AND('331-CT'!$E$7=TH!H2406,OR(L2406="331",M2406="331")),"331",IF(AND(OR(L2406="131",M2406="131"),H2406='131-CT'!$E$7),"131",""))</f>
        <v/>
      </c>
      <c r="O2406" s="857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0"/>
    </row>
    <row r="2407" spans="1:29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27"/>
        <v>5</v>
      </c>
      <c r="C2407" s="184">
        <f t="shared" si="129"/>
        <v>42508</v>
      </c>
      <c r="D2407" s="184" t="s">
        <v>1579</v>
      </c>
      <c r="E2407" s="191">
        <v>42508</v>
      </c>
      <c r="F2407" s="189" t="s">
        <v>503</v>
      </c>
      <c r="G2407" s="456" t="s">
        <v>593</v>
      </c>
      <c r="H2407" s="7" t="s">
        <v>1581</v>
      </c>
      <c r="I2407" s="256">
        <v>88</v>
      </c>
      <c r="J2407" s="256">
        <v>8438.7964771405605</v>
      </c>
      <c r="K2407" s="38">
        <f t="shared" si="128"/>
        <v>742614</v>
      </c>
      <c r="L2407" s="566" t="s">
        <v>167</v>
      </c>
      <c r="M2407" s="566" t="s">
        <v>165</v>
      </c>
      <c r="N2407" s="52" t="str">
        <f>IF(AND('331-CT'!$E$7=TH!H2407,OR(L2407="331",M2407="331")),"331",IF(AND(OR(L2407="131",M2407="131"),H2407='131-CT'!$E$7),"131",""))</f>
        <v/>
      </c>
      <c r="O2407" s="857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0"/>
    </row>
    <row r="2408" spans="1:29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27"/>
        <v>5</v>
      </c>
      <c r="C2408" s="184">
        <f t="shared" si="129"/>
        <v>42508</v>
      </c>
      <c r="D2408" s="184" t="s">
        <v>1579</v>
      </c>
      <c r="E2408" s="191">
        <v>42508</v>
      </c>
      <c r="F2408" s="189" t="s">
        <v>510</v>
      </c>
      <c r="G2408" s="456" t="s">
        <v>593</v>
      </c>
      <c r="H2408" s="7" t="s">
        <v>1581</v>
      </c>
      <c r="I2408" s="256">
        <v>340</v>
      </c>
      <c r="J2408" s="256">
        <v>10825.526793907587</v>
      </c>
      <c r="K2408" s="38">
        <f t="shared" si="128"/>
        <v>3680679</v>
      </c>
      <c r="L2408" s="566" t="s">
        <v>167</v>
      </c>
      <c r="M2408" s="566" t="s">
        <v>165</v>
      </c>
      <c r="N2408" s="52" t="str">
        <f>IF(AND('331-CT'!$E$7=TH!H2408,OR(L2408="331",M2408="331")),"331",IF(AND(OR(L2408="131",M2408="131"),H2408='131-CT'!$E$7),"131",""))</f>
        <v/>
      </c>
      <c r="O2408" s="857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0"/>
    </row>
    <row r="2409" spans="1:29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27"/>
        <v>5</v>
      </c>
      <c r="C2409" s="184">
        <f t="shared" si="129"/>
        <v>42508</v>
      </c>
      <c r="D2409" s="184" t="s">
        <v>1579</v>
      </c>
      <c r="E2409" s="191">
        <v>42508</v>
      </c>
      <c r="F2409" s="189" t="s">
        <v>971</v>
      </c>
      <c r="G2409" s="456" t="s">
        <v>593</v>
      </c>
      <c r="H2409" s="7" t="s">
        <v>1581</v>
      </c>
      <c r="I2409" s="256">
        <v>220</v>
      </c>
      <c r="J2409" s="256">
        <v>9035.4790563323168</v>
      </c>
      <c r="K2409" s="38">
        <f t="shared" si="128"/>
        <v>1987805</v>
      </c>
      <c r="L2409" s="566" t="s">
        <v>167</v>
      </c>
      <c r="M2409" s="566" t="s">
        <v>165</v>
      </c>
      <c r="N2409" s="52" t="str">
        <f>IF(AND('331-CT'!$E$7=TH!H2409,OR(L2409="331",M2409="331")),"331",IF(AND(OR(L2409="131",M2409="131"),H2409='131-CT'!$E$7),"131",""))</f>
        <v/>
      </c>
      <c r="O2409" s="857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0"/>
    </row>
    <row r="2410" spans="1:29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ref="B2410:B2473" si="130">IF(C2410&lt;&gt;"",MONTH(C2410),"")</f>
        <v>5</v>
      </c>
      <c r="C2410" s="184">
        <f t="shared" si="129"/>
        <v>42508</v>
      </c>
      <c r="D2410" s="184" t="s">
        <v>1579</v>
      </c>
      <c r="E2410" s="191">
        <v>42508</v>
      </c>
      <c r="F2410" s="189" t="s">
        <v>510</v>
      </c>
      <c r="G2410" s="456" t="s">
        <v>593</v>
      </c>
      <c r="H2410" s="7" t="s">
        <v>1581</v>
      </c>
      <c r="I2410" s="256">
        <v>212</v>
      </c>
      <c r="J2410" s="256">
        <v>10825.526793907587</v>
      </c>
      <c r="K2410" s="38">
        <f t="shared" si="128"/>
        <v>2295012</v>
      </c>
      <c r="L2410" s="566" t="s">
        <v>167</v>
      </c>
      <c r="M2410" s="566" t="s">
        <v>165</v>
      </c>
      <c r="N2410" s="52" t="str">
        <f>IF(AND('331-CT'!$E$7=TH!H2410,OR(L2410="331",M2410="331")),"331",IF(AND(OR(L2410="131",M2410="131"),H2410='131-CT'!$E$7),"131",""))</f>
        <v/>
      </c>
      <c r="O2410" s="857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0"/>
    </row>
    <row r="2411" spans="1:29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30"/>
        <v>5</v>
      </c>
      <c r="C2411" s="184">
        <f t="shared" si="129"/>
        <v>42513</v>
      </c>
      <c r="D2411" s="184" t="s">
        <v>1579</v>
      </c>
      <c r="E2411" s="191">
        <v>42513</v>
      </c>
      <c r="F2411" s="189" t="s">
        <v>1061</v>
      </c>
      <c r="G2411" s="456" t="s">
        <v>594</v>
      </c>
      <c r="H2411" s="7" t="s">
        <v>1581</v>
      </c>
      <c r="I2411" s="256">
        <v>20</v>
      </c>
      <c r="J2411" s="256">
        <v>22673.938009286758</v>
      </c>
      <c r="K2411" s="38">
        <f t="shared" si="128"/>
        <v>453479</v>
      </c>
      <c r="L2411" s="566" t="s">
        <v>167</v>
      </c>
      <c r="M2411" s="566" t="s">
        <v>165</v>
      </c>
      <c r="N2411" s="52" t="str">
        <f>IF(AND('331-CT'!$E$7=TH!H2411,OR(L2411="331",M2411="331")),"331",IF(AND(OR(L2411="131",M2411="131"),H2411='131-CT'!$E$7),"131",""))</f>
        <v/>
      </c>
      <c r="O2411" s="857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0"/>
    </row>
    <row r="2412" spans="1:29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30"/>
        <v>5</v>
      </c>
      <c r="C2412" s="184">
        <f t="shared" si="129"/>
        <v>42513</v>
      </c>
      <c r="D2412" s="184" t="s">
        <v>1579</v>
      </c>
      <c r="E2412" s="191">
        <v>42513</v>
      </c>
      <c r="F2412" s="189" t="s">
        <v>1062</v>
      </c>
      <c r="G2412" s="456" t="s">
        <v>594</v>
      </c>
      <c r="H2412" s="7" t="s">
        <v>1581</v>
      </c>
      <c r="I2412" s="256">
        <v>20</v>
      </c>
      <c r="J2412" s="256">
        <v>20287.207692519729</v>
      </c>
      <c r="K2412" s="38">
        <f t="shared" si="128"/>
        <v>405744</v>
      </c>
      <c r="L2412" s="566" t="s">
        <v>167</v>
      </c>
      <c r="M2412" s="566" t="s">
        <v>165</v>
      </c>
      <c r="N2412" s="52" t="str">
        <f>IF(AND('331-CT'!$E$7=TH!H2412,OR(L2412="331",M2412="331")),"331",IF(AND(OR(L2412="131",M2412="131"),H2412='131-CT'!$E$7),"131",""))</f>
        <v/>
      </c>
      <c r="O2412" s="857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0"/>
    </row>
    <row r="2413" spans="1:29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30"/>
        <v>5</v>
      </c>
      <c r="C2413" s="184">
        <f t="shared" si="129"/>
        <v>42513</v>
      </c>
      <c r="D2413" s="184" t="s">
        <v>1579</v>
      </c>
      <c r="E2413" s="191">
        <v>42513</v>
      </c>
      <c r="F2413" s="189" t="s">
        <v>1063</v>
      </c>
      <c r="G2413" s="456" t="s">
        <v>594</v>
      </c>
      <c r="H2413" s="7" t="s">
        <v>1581</v>
      </c>
      <c r="I2413" s="256">
        <v>60</v>
      </c>
      <c r="J2413" s="256">
        <v>26594.994958261159</v>
      </c>
      <c r="K2413" s="38">
        <f t="shared" si="128"/>
        <v>1595700</v>
      </c>
      <c r="L2413" s="566" t="s">
        <v>167</v>
      </c>
      <c r="M2413" s="566" t="s">
        <v>165</v>
      </c>
      <c r="N2413" s="52" t="str">
        <f>IF(AND('331-CT'!$E$7=TH!H2413,OR(L2413="331",M2413="331")),"331",IF(AND(OR(L2413="131",M2413="131"),H2413='131-CT'!$E$7),"131",""))</f>
        <v/>
      </c>
      <c r="O2413" s="857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0"/>
    </row>
    <row r="2414" spans="1:29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30"/>
        <v>5</v>
      </c>
      <c r="C2414" s="184">
        <f t="shared" si="129"/>
        <v>42513</v>
      </c>
      <c r="D2414" s="184" t="s">
        <v>1579</v>
      </c>
      <c r="E2414" s="191">
        <v>42513</v>
      </c>
      <c r="F2414" s="189" t="s">
        <v>1064</v>
      </c>
      <c r="G2414" s="456" t="s">
        <v>594</v>
      </c>
      <c r="H2414" s="7" t="s">
        <v>1581</v>
      </c>
      <c r="I2414" s="256">
        <v>20</v>
      </c>
      <c r="J2414" s="256">
        <v>17985.717744208669</v>
      </c>
      <c r="K2414" s="38">
        <f t="shared" si="128"/>
        <v>359714</v>
      </c>
      <c r="L2414" s="566" t="s">
        <v>167</v>
      </c>
      <c r="M2414" s="566" t="s">
        <v>165</v>
      </c>
      <c r="N2414" s="52" t="str">
        <f>IF(AND('331-CT'!$E$7=TH!H2414,OR(L2414="331",M2414="331")),"331",IF(AND(OR(L2414="131",M2414="131"),H2414='131-CT'!$E$7),"131",""))</f>
        <v/>
      </c>
      <c r="O2414" s="857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0"/>
    </row>
    <row r="2415" spans="1:29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30"/>
        <v>5</v>
      </c>
      <c r="C2415" s="184">
        <f t="shared" si="129"/>
        <v>42513</v>
      </c>
      <c r="D2415" s="184" t="s">
        <v>1579</v>
      </c>
      <c r="E2415" s="191">
        <v>42513</v>
      </c>
      <c r="F2415" s="189" t="s">
        <v>1065</v>
      </c>
      <c r="G2415" s="456" t="s">
        <v>594</v>
      </c>
      <c r="H2415" s="7" t="s">
        <v>1581</v>
      </c>
      <c r="I2415" s="256">
        <v>20</v>
      </c>
      <c r="J2415" s="256">
        <v>19434.804007960076</v>
      </c>
      <c r="K2415" s="38">
        <f t="shared" si="128"/>
        <v>388696</v>
      </c>
      <c r="L2415" s="566" t="s">
        <v>167</v>
      </c>
      <c r="M2415" s="566" t="s">
        <v>165</v>
      </c>
      <c r="N2415" s="52" t="str">
        <f>IF(AND('331-CT'!$E$7=TH!H2415,OR(L2415="331",M2415="331")),"331",IF(AND(OR(L2415="131",M2415="131"),H2415='131-CT'!$E$7),"131",""))</f>
        <v/>
      </c>
      <c r="O2415" s="857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0"/>
    </row>
    <row r="2416" spans="1:29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30"/>
        <v>5</v>
      </c>
      <c r="C2416" s="184">
        <f t="shared" si="129"/>
        <v>42513</v>
      </c>
      <c r="D2416" s="184" t="s">
        <v>1579</v>
      </c>
      <c r="E2416" s="191">
        <v>42513</v>
      </c>
      <c r="F2416" s="189" t="s">
        <v>1066</v>
      </c>
      <c r="G2416" s="456" t="s">
        <v>594</v>
      </c>
      <c r="H2416" s="7" t="s">
        <v>1581</v>
      </c>
      <c r="I2416" s="256">
        <v>22</v>
      </c>
      <c r="J2416" s="256">
        <v>21480.572850903245</v>
      </c>
      <c r="K2416" s="38">
        <f t="shared" si="128"/>
        <v>472573</v>
      </c>
      <c r="L2416" s="566" t="s">
        <v>167</v>
      </c>
      <c r="M2416" s="566" t="s">
        <v>165</v>
      </c>
      <c r="N2416" s="52" t="str">
        <f>IF(AND('331-CT'!$E$7=TH!H2416,OR(L2416="331",M2416="331")),"331",IF(AND(OR(L2416="131",M2416="131"),H2416='131-CT'!$E$7),"131",""))</f>
        <v/>
      </c>
      <c r="O2416" s="857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0"/>
    </row>
    <row r="2417" spans="1:29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30"/>
        <v>5</v>
      </c>
      <c r="C2417" s="184">
        <f t="shared" si="129"/>
        <v>42513</v>
      </c>
      <c r="D2417" s="184" t="s">
        <v>1579</v>
      </c>
      <c r="E2417" s="191">
        <v>42513</v>
      </c>
      <c r="F2417" s="189" t="s">
        <v>1067</v>
      </c>
      <c r="G2417" s="456" t="s">
        <v>594</v>
      </c>
      <c r="H2417" s="7" t="s">
        <v>1581</v>
      </c>
      <c r="I2417" s="256">
        <v>24</v>
      </c>
      <c r="J2417" s="256">
        <v>13212.257110674615</v>
      </c>
      <c r="K2417" s="38">
        <f t="shared" si="128"/>
        <v>317094</v>
      </c>
      <c r="L2417" s="566" t="s">
        <v>167</v>
      </c>
      <c r="M2417" s="566" t="s">
        <v>165</v>
      </c>
      <c r="N2417" s="52" t="str">
        <f>IF(AND('331-CT'!$E$7=TH!H2417,OR(L2417="331",M2417="331")),"331",IF(AND(OR(L2417="131",M2417="131"),H2417='131-CT'!$E$7),"131",""))</f>
        <v/>
      </c>
      <c r="O2417" s="857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0"/>
    </row>
    <row r="2418" spans="1:29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30"/>
        <v>5</v>
      </c>
      <c r="C2418" s="184">
        <f t="shared" si="129"/>
        <v>42513</v>
      </c>
      <c r="D2418" s="184" t="s">
        <v>1579</v>
      </c>
      <c r="E2418" s="191">
        <v>42513</v>
      </c>
      <c r="F2418" s="189" t="s">
        <v>1068</v>
      </c>
      <c r="G2418" s="456" t="s">
        <v>594</v>
      </c>
      <c r="H2418" s="7" t="s">
        <v>1581</v>
      </c>
      <c r="I2418" s="256">
        <v>24</v>
      </c>
      <c r="J2418" s="256">
        <v>12359.853426114962</v>
      </c>
      <c r="K2418" s="38">
        <f t="shared" si="128"/>
        <v>296636</v>
      </c>
      <c r="L2418" s="566" t="s">
        <v>167</v>
      </c>
      <c r="M2418" s="566" t="s">
        <v>165</v>
      </c>
      <c r="N2418" s="52" t="str">
        <f>IF(AND('331-CT'!$E$7=TH!H2418,OR(L2418="331",M2418="331")),"331",IF(AND(OR(L2418="131",M2418="131"),H2418='131-CT'!$E$7),"131",""))</f>
        <v/>
      </c>
      <c r="O2418" s="857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0"/>
    </row>
    <row r="2419" spans="1:29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30"/>
        <v>5</v>
      </c>
      <c r="C2419" s="184">
        <f t="shared" si="129"/>
        <v>42513</v>
      </c>
      <c r="D2419" s="184" t="s">
        <v>1579</v>
      </c>
      <c r="E2419" s="191">
        <v>42513</v>
      </c>
      <c r="F2419" s="189" t="s">
        <v>1069</v>
      </c>
      <c r="G2419" s="456" t="s">
        <v>594</v>
      </c>
      <c r="H2419" s="7" t="s">
        <v>1581</v>
      </c>
      <c r="I2419" s="256">
        <v>26</v>
      </c>
      <c r="J2419" s="256">
        <v>14917.06447979392</v>
      </c>
      <c r="K2419" s="38">
        <f t="shared" si="128"/>
        <v>387844</v>
      </c>
      <c r="L2419" s="566" t="s">
        <v>167</v>
      </c>
      <c r="M2419" s="566" t="s">
        <v>165</v>
      </c>
      <c r="N2419" s="52" t="str">
        <f>IF(AND('331-CT'!$E$7=TH!H2419,OR(L2419="331",M2419="331")),"331",IF(AND(OR(L2419="131",M2419="131"),H2419='131-CT'!$E$7),"131",""))</f>
        <v/>
      </c>
      <c r="O2419" s="857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0"/>
    </row>
    <row r="2420" spans="1:29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30"/>
        <v>5</v>
      </c>
      <c r="C2420" s="184">
        <f t="shared" si="129"/>
        <v>42513</v>
      </c>
      <c r="D2420" s="184" t="s">
        <v>1579</v>
      </c>
      <c r="E2420" s="191">
        <v>42513</v>
      </c>
      <c r="F2420" s="189" t="s">
        <v>640</v>
      </c>
      <c r="G2420" s="456" t="s">
        <v>596</v>
      </c>
      <c r="H2420" s="7" t="s">
        <v>1581</v>
      </c>
      <c r="I2420" s="256">
        <v>158</v>
      </c>
      <c r="J2420" s="256">
        <v>27447.398642820812</v>
      </c>
      <c r="K2420" s="38">
        <f t="shared" si="128"/>
        <v>4336689</v>
      </c>
      <c r="L2420" s="566" t="s">
        <v>167</v>
      </c>
      <c r="M2420" s="566" t="s">
        <v>165</v>
      </c>
      <c r="N2420" s="52" t="str">
        <f>IF(AND('331-CT'!$E$7=TH!H2420,OR(L2420="331",M2420="331")),"331",IF(AND(OR(L2420="131",M2420="131"),H2420='131-CT'!$E$7),"131",""))</f>
        <v/>
      </c>
      <c r="O2420" s="857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0"/>
    </row>
    <row r="2421" spans="1:29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30"/>
        <v>5</v>
      </c>
      <c r="C2421" s="184">
        <f t="shared" si="129"/>
        <v>42515</v>
      </c>
      <c r="D2421" s="184" t="s">
        <v>1579</v>
      </c>
      <c r="E2421" s="191">
        <v>42515</v>
      </c>
      <c r="F2421" s="189" t="s">
        <v>1474</v>
      </c>
      <c r="G2421" s="456" t="s">
        <v>1070</v>
      </c>
      <c r="H2421" s="7" t="s">
        <v>1581</v>
      </c>
      <c r="I2421" s="256">
        <v>505</v>
      </c>
      <c r="J2421" s="256">
        <v>8097.8350033166989</v>
      </c>
      <c r="K2421" s="38">
        <f t="shared" si="128"/>
        <v>4089407</v>
      </c>
      <c r="L2421" s="566" t="s">
        <v>167</v>
      </c>
      <c r="M2421" s="566" t="s">
        <v>165</v>
      </c>
      <c r="N2421" s="52" t="str">
        <f>IF(AND('331-CT'!$E$7=TH!H2421,OR(L2421="331",M2421="331")),"331",IF(AND(OR(L2421="131",M2421="131"),H2421='131-CT'!$E$7),"131",""))</f>
        <v/>
      </c>
      <c r="O2421" s="857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0"/>
    </row>
    <row r="2422" spans="1:29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30"/>
        <v>5</v>
      </c>
      <c r="C2422" s="184">
        <f t="shared" si="129"/>
        <v>42517</v>
      </c>
      <c r="D2422" s="184" t="s">
        <v>1579</v>
      </c>
      <c r="E2422" s="191">
        <v>42517</v>
      </c>
      <c r="F2422" s="189" t="s">
        <v>466</v>
      </c>
      <c r="G2422" s="456" t="s">
        <v>597</v>
      </c>
      <c r="H2422" s="7" t="s">
        <v>1581</v>
      </c>
      <c r="I2422" s="256">
        <v>1021</v>
      </c>
      <c r="J2422" s="256">
        <v>5796.3450550056377</v>
      </c>
      <c r="K2422" s="38">
        <f t="shared" si="128"/>
        <v>5918068</v>
      </c>
      <c r="L2422" s="566" t="s">
        <v>167</v>
      </c>
      <c r="M2422" s="566" t="s">
        <v>165</v>
      </c>
      <c r="N2422" s="52" t="str">
        <f>IF(AND('331-CT'!$E$7=TH!H2422,OR(L2422="331",M2422="331")),"331",IF(AND(OR(L2422="131",M2422="131"),H2422='131-CT'!$E$7),"131",""))</f>
        <v/>
      </c>
      <c r="O2422" s="857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0"/>
    </row>
    <row r="2423" spans="1:29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30"/>
        <v>5</v>
      </c>
      <c r="C2423" s="184">
        <f t="shared" si="129"/>
        <v>42517</v>
      </c>
      <c r="D2423" s="184" t="s">
        <v>1579</v>
      </c>
      <c r="E2423" s="191">
        <v>42517</v>
      </c>
      <c r="F2423" s="189" t="s">
        <v>448</v>
      </c>
      <c r="G2423" s="456" t="s">
        <v>598</v>
      </c>
      <c r="H2423" s="7" t="s">
        <v>1581</v>
      </c>
      <c r="I2423" s="256">
        <v>246</v>
      </c>
      <c r="J2423" s="256">
        <v>61799.267130574808</v>
      </c>
      <c r="K2423" s="38">
        <f t="shared" si="128"/>
        <v>15202620</v>
      </c>
      <c r="L2423" s="566" t="s">
        <v>167</v>
      </c>
      <c r="M2423" s="566" t="s">
        <v>165</v>
      </c>
      <c r="N2423" s="52" t="str">
        <f>IF(AND('331-CT'!$E$7=TH!H2423,OR(L2423="331",M2423="331")),"331",IF(AND(OR(L2423="131",M2423="131"),H2423='131-CT'!$E$7),"131",""))</f>
        <v/>
      </c>
      <c r="O2423" s="857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0"/>
    </row>
    <row r="2424" spans="1:29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30"/>
        <v>5</v>
      </c>
      <c r="C2424" s="184">
        <f t="shared" si="129"/>
        <v>42517</v>
      </c>
      <c r="D2424" s="184" t="s">
        <v>1579</v>
      </c>
      <c r="E2424" s="191">
        <v>42517</v>
      </c>
      <c r="F2424" s="189" t="s">
        <v>943</v>
      </c>
      <c r="G2424" s="456" t="s">
        <v>598</v>
      </c>
      <c r="H2424" s="7" t="s">
        <v>1581</v>
      </c>
      <c r="I2424" s="256">
        <v>60</v>
      </c>
      <c r="J2424" s="256">
        <v>64441.718552709732</v>
      </c>
      <c r="K2424" s="38">
        <f t="shared" si="128"/>
        <v>3866503</v>
      </c>
      <c r="L2424" s="566" t="s">
        <v>167</v>
      </c>
      <c r="M2424" s="566" t="s">
        <v>165</v>
      </c>
      <c r="N2424" s="52" t="str">
        <f>IF(AND('331-CT'!$E$7=TH!H2424,OR(L2424="331",M2424="331")),"331",IF(AND(OR(L2424="131",M2424="131"),H2424='131-CT'!$E$7),"131",""))</f>
        <v/>
      </c>
      <c r="O2424" s="857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0"/>
    </row>
    <row r="2425" spans="1:29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30"/>
        <v>5</v>
      </c>
      <c r="C2425" s="184">
        <f t="shared" si="129"/>
        <v>42518</v>
      </c>
      <c r="D2425" s="184" t="s">
        <v>1579</v>
      </c>
      <c r="E2425" s="191">
        <v>42518</v>
      </c>
      <c r="F2425" s="189" t="s">
        <v>507</v>
      </c>
      <c r="G2425" s="456" t="s">
        <v>600</v>
      </c>
      <c r="H2425" s="7" t="s">
        <v>1581</v>
      </c>
      <c r="I2425" s="256">
        <v>106</v>
      </c>
      <c r="J2425" s="256">
        <v>7927.3542664047691</v>
      </c>
      <c r="K2425" s="38">
        <f t="shared" si="128"/>
        <v>840300</v>
      </c>
      <c r="L2425" s="566" t="s">
        <v>167</v>
      </c>
      <c r="M2425" s="566" t="s">
        <v>165</v>
      </c>
      <c r="N2425" s="52" t="str">
        <f>IF(AND('331-CT'!$E$7=TH!H2425,OR(L2425="331",M2425="331")),"331",IF(AND(OR(L2425="131",M2425="131"),H2425='131-CT'!$E$7),"131",""))</f>
        <v/>
      </c>
      <c r="O2425" s="857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0"/>
    </row>
    <row r="2426" spans="1:29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30"/>
        <v>5</v>
      </c>
      <c r="C2426" s="184">
        <f t="shared" si="129"/>
        <v>42518</v>
      </c>
      <c r="D2426" s="184" t="s">
        <v>1579</v>
      </c>
      <c r="E2426" s="191">
        <v>42518</v>
      </c>
      <c r="F2426" s="189" t="s">
        <v>445</v>
      </c>
      <c r="G2426" s="456" t="s">
        <v>600</v>
      </c>
      <c r="H2426" s="7" t="s">
        <v>1581</v>
      </c>
      <c r="I2426" s="256">
        <v>207</v>
      </c>
      <c r="J2426" s="256">
        <v>11422.209373099344</v>
      </c>
      <c r="K2426" s="38">
        <f t="shared" si="128"/>
        <v>2364397</v>
      </c>
      <c r="L2426" s="566" t="s">
        <v>167</v>
      </c>
      <c r="M2426" s="566" t="s">
        <v>165</v>
      </c>
      <c r="N2426" s="52" t="str">
        <f>IF(AND('331-CT'!$E$7=TH!H2426,OR(L2426="331",M2426="331")),"331",IF(AND(OR(L2426="131",M2426="131"),H2426='131-CT'!$E$7),"131",""))</f>
        <v/>
      </c>
      <c r="O2426" s="857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0"/>
    </row>
    <row r="2427" spans="1:29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30"/>
        <v>5</v>
      </c>
      <c r="C2427" s="184">
        <f t="shared" si="129"/>
        <v>42519</v>
      </c>
      <c r="D2427" s="184" t="s">
        <v>1579</v>
      </c>
      <c r="E2427" s="191">
        <v>42519</v>
      </c>
      <c r="F2427" s="189" t="s">
        <v>448</v>
      </c>
      <c r="G2427" s="456" t="s">
        <v>599</v>
      </c>
      <c r="H2427" s="7" t="s">
        <v>1581</v>
      </c>
      <c r="I2427" s="256">
        <v>150</v>
      </c>
      <c r="J2427" s="256">
        <v>61799.267130574808</v>
      </c>
      <c r="K2427" s="38">
        <f t="shared" si="128"/>
        <v>9269890</v>
      </c>
      <c r="L2427" s="566" t="s">
        <v>167</v>
      </c>
      <c r="M2427" s="566" t="s">
        <v>165</v>
      </c>
      <c r="N2427" s="52" t="str">
        <f>IF(AND('331-CT'!$E$7=TH!H2427,OR(L2427="331",M2427="331")),"331",IF(AND(OR(L2427="131",M2427="131"),H2427='131-CT'!$E$7),"131",""))</f>
        <v/>
      </c>
      <c r="O2427" s="857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0"/>
    </row>
    <row r="2428" spans="1:29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30"/>
        <v>5</v>
      </c>
      <c r="C2428" s="184">
        <f t="shared" si="129"/>
        <v>42520</v>
      </c>
      <c r="D2428" s="184" t="s">
        <v>1579</v>
      </c>
      <c r="E2428" s="191">
        <v>42520</v>
      </c>
      <c r="F2428" s="189" t="s">
        <v>1071</v>
      </c>
      <c r="G2428" s="456" t="s">
        <v>602</v>
      </c>
      <c r="H2428" s="7" t="s">
        <v>1581</v>
      </c>
      <c r="I2428" s="256">
        <v>306</v>
      </c>
      <c r="J2428" s="256">
        <v>7160.1909503010811</v>
      </c>
      <c r="K2428" s="38">
        <f t="shared" si="128"/>
        <v>2191018</v>
      </c>
      <c r="L2428" s="566" t="s">
        <v>167</v>
      </c>
      <c r="M2428" s="566" t="s">
        <v>165</v>
      </c>
      <c r="N2428" s="52" t="str">
        <f>IF(AND('331-CT'!$E$7=TH!H2428,OR(L2428="331",M2428="331")),"331",IF(AND(OR(L2428="131",M2428="131"),H2428='131-CT'!$E$7),"131",""))</f>
        <v/>
      </c>
      <c r="O2428" s="857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0"/>
    </row>
    <row r="2429" spans="1:29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30"/>
        <v>5</v>
      </c>
      <c r="C2429" s="184">
        <f t="shared" si="129"/>
        <v>42520</v>
      </c>
      <c r="D2429" s="184" t="s">
        <v>1579</v>
      </c>
      <c r="E2429" s="191">
        <v>42520</v>
      </c>
      <c r="F2429" s="189" t="s">
        <v>1072</v>
      </c>
      <c r="G2429" s="456" t="s">
        <v>602</v>
      </c>
      <c r="H2429" s="7" t="s">
        <v>1581</v>
      </c>
      <c r="I2429" s="256">
        <v>403</v>
      </c>
      <c r="J2429" s="256">
        <v>6137.3065288294983</v>
      </c>
      <c r="K2429" s="38">
        <f t="shared" si="128"/>
        <v>2473335</v>
      </c>
      <c r="L2429" s="566" t="s">
        <v>167</v>
      </c>
      <c r="M2429" s="566" t="s">
        <v>165</v>
      </c>
      <c r="N2429" s="52" t="str">
        <f>IF(AND('331-CT'!$E$7=TH!H2429,OR(L2429="331",M2429="331")),"331",IF(AND(OR(L2429="131",M2429="131"),H2429='131-CT'!$E$7),"131",""))</f>
        <v/>
      </c>
      <c r="O2429" s="857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0"/>
    </row>
    <row r="2430" spans="1:29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30"/>
        <v>5</v>
      </c>
      <c r="C2430" s="184">
        <f t="shared" si="129"/>
        <v>42520</v>
      </c>
      <c r="D2430" s="184" t="s">
        <v>1579</v>
      </c>
      <c r="E2430" s="191">
        <v>42520</v>
      </c>
      <c r="F2430" s="189" t="s">
        <v>1073</v>
      </c>
      <c r="G2430" s="456" t="s">
        <v>602</v>
      </c>
      <c r="H2430" s="7" t="s">
        <v>1581</v>
      </c>
      <c r="I2430" s="256">
        <v>307</v>
      </c>
      <c r="J2430" s="256">
        <v>11677.93047846724</v>
      </c>
      <c r="K2430" s="38">
        <f t="shared" si="128"/>
        <v>3585125</v>
      </c>
      <c r="L2430" s="566" t="s">
        <v>167</v>
      </c>
      <c r="M2430" s="566" t="s">
        <v>165</v>
      </c>
      <c r="N2430" s="52" t="str">
        <f>IF(AND('331-CT'!$E$7=TH!H2430,OR(L2430="331",M2430="331")),"331",IF(AND(OR(L2430="131",M2430="131"),H2430='131-CT'!$E$7),"131",""))</f>
        <v/>
      </c>
      <c r="O2430" s="857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0"/>
    </row>
    <row r="2431" spans="1:29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30"/>
        <v>6</v>
      </c>
      <c r="C2431" s="184">
        <f t="shared" si="129"/>
        <v>42522</v>
      </c>
      <c r="D2431" s="184" t="s">
        <v>1579</v>
      </c>
      <c r="E2431" s="191">
        <v>42522</v>
      </c>
      <c r="F2431" s="189" t="s">
        <v>419</v>
      </c>
      <c r="G2431" s="456" t="s">
        <v>603</v>
      </c>
      <c r="H2431" s="7" t="s">
        <v>1581</v>
      </c>
      <c r="I2431" s="256">
        <v>1600</v>
      </c>
      <c r="J2431" s="256">
        <v>6989.7102133891503</v>
      </c>
      <c r="K2431" s="38">
        <f t="shared" si="128"/>
        <v>11183536</v>
      </c>
      <c r="L2431" s="566" t="s">
        <v>167</v>
      </c>
      <c r="M2431" s="566" t="s">
        <v>165</v>
      </c>
      <c r="N2431" s="52" t="str">
        <f>IF(AND('331-CT'!$E$7=TH!H2431,OR(L2431="331",M2431="331")),"331",IF(AND(OR(L2431="131",M2431="131"),H2431='131-CT'!$E$7),"131",""))</f>
        <v/>
      </c>
      <c r="O2431" s="857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0"/>
      <c r="AC2431" s="557"/>
    </row>
    <row r="2432" spans="1:29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30"/>
        <v>6</v>
      </c>
      <c r="C2432" s="184">
        <f t="shared" si="129"/>
        <v>42522</v>
      </c>
      <c r="D2432" s="184" t="s">
        <v>1579</v>
      </c>
      <c r="E2432" s="191">
        <v>42522</v>
      </c>
      <c r="F2432" s="189" t="s">
        <v>471</v>
      </c>
      <c r="G2432" s="456" t="s">
        <v>603</v>
      </c>
      <c r="H2432" s="7" t="s">
        <v>1581</v>
      </c>
      <c r="I2432" s="256">
        <v>750</v>
      </c>
      <c r="J2432" s="256">
        <v>13467.978216042511</v>
      </c>
      <c r="K2432" s="38">
        <f t="shared" si="128"/>
        <v>10100984</v>
      </c>
      <c r="L2432" s="566" t="s">
        <v>167</v>
      </c>
      <c r="M2432" s="566" t="s">
        <v>165</v>
      </c>
      <c r="N2432" s="52" t="str">
        <f>IF(AND('331-CT'!$E$7=TH!H2432,OR(L2432="331",M2432="331")),"331",IF(AND(OR(L2432="131",M2432="131"),H2432='131-CT'!$E$7),"131",""))</f>
        <v/>
      </c>
      <c r="O2432" s="857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0"/>
      <c r="AC2432" s="557"/>
    </row>
    <row r="2433" spans="1:29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30"/>
        <v>6</v>
      </c>
      <c r="C2433" s="184">
        <f t="shared" si="129"/>
        <v>42522</v>
      </c>
      <c r="D2433" s="184" t="s">
        <v>1579</v>
      </c>
      <c r="E2433" s="191">
        <v>42522</v>
      </c>
      <c r="F2433" s="189" t="s">
        <v>448</v>
      </c>
      <c r="G2433" s="456" t="s">
        <v>604</v>
      </c>
      <c r="H2433" s="7" t="s">
        <v>1581</v>
      </c>
      <c r="I2433" s="256">
        <v>170</v>
      </c>
      <c r="J2433" s="256">
        <v>61799.267130574808</v>
      </c>
      <c r="K2433" s="38">
        <f t="shared" si="128"/>
        <v>10505875</v>
      </c>
      <c r="L2433" s="566" t="s">
        <v>167</v>
      </c>
      <c r="M2433" s="566" t="s">
        <v>165</v>
      </c>
      <c r="N2433" s="52" t="str">
        <f>IF(AND('331-CT'!$E$7=TH!H2433,OR(L2433="331",M2433="331")),"331",IF(AND(OR(L2433="131",M2433="131"),H2433='131-CT'!$E$7),"131",""))</f>
        <v/>
      </c>
      <c r="O2433" s="857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0"/>
      <c r="AC2433" s="557"/>
    </row>
    <row r="2434" spans="1:29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30"/>
        <v>6</v>
      </c>
      <c r="C2434" s="184">
        <f t="shared" si="129"/>
        <v>42522</v>
      </c>
      <c r="D2434" s="184" t="s">
        <v>1579</v>
      </c>
      <c r="E2434" s="191">
        <v>42522</v>
      </c>
      <c r="F2434" s="189" t="s">
        <v>964</v>
      </c>
      <c r="G2434" s="456" t="s">
        <v>605</v>
      </c>
      <c r="H2434" s="7" t="s">
        <v>1581</v>
      </c>
      <c r="I2434" s="256">
        <v>245</v>
      </c>
      <c r="J2434" s="256">
        <v>12018.8919522911</v>
      </c>
      <c r="K2434" s="38">
        <f t="shared" si="128"/>
        <v>2944629</v>
      </c>
      <c r="L2434" s="566" t="s">
        <v>167</v>
      </c>
      <c r="M2434" s="566" t="s">
        <v>165</v>
      </c>
      <c r="N2434" s="52" t="str">
        <f>IF(AND('331-CT'!$E$7=TH!H2434,OR(L2434="331",M2434="331")),"331",IF(AND(OR(L2434="131",M2434="131"),H2434='131-CT'!$E$7),"131",""))</f>
        <v/>
      </c>
      <c r="O2434" s="857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0"/>
      <c r="AC2434" s="557"/>
    </row>
    <row r="2435" spans="1:29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30"/>
        <v>6</v>
      </c>
      <c r="C2435" s="184">
        <f t="shared" si="129"/>
        <v>42522</v>
      </c>
      <c r="D2435" s="184" t="s">
        <v>1579</v>
      </c>
      <c r="E2435" s="191">
        <v>42522</v>
      </c>
      <c r="F2435" s="189" t="s">
        <v>437</v>
      </c>
      <c r="G2435" s="456" t="s">
        <v>605</v>
      </c>
      <c r="H2435" s="7" t="s">
        <v>1581</v>
      </c>
      <c r="I2435" s="256">
        <v>35</v>
      </c>
      <c r="J2435" s="256">
        <v>9035.4790563323168</v>
      </c>
      <c r="K2435" s="38">
        <f t="shared" si="128"/>
        <v>316242</v>
      </c>
      <c r="L2435" s="566" t="s">
        <v>167</v>
      </c>
      <c r="M2435" s="566" t="s">
        <v>165</v>
      </c>
      <c r="N2435" s="52" t="str">
        <f>IF(AND('331-CT'!$E$7=TH!H2435,OR(L2435="331",M2435="331")),"331",IF(AND(OR(L2435="131",M2435="131"),H2435='131-CT'!$E$7),"131",""))</f>
        <v/>
      </c>
      <c r="O2435" s="857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0"/>
      <c r="AC2435" s="557"/>
    </row>
    <row r="2436" spans="1:29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30"/>
        <v>6</v>
      </c>
      <c r="C2436" s="184">
        <f t="shared" si="129"/>
        <v>42522</v>
      </c>
      <c r="D2436" s="184" t="s">
        <v>1579</v>
      </c>
      <c r="E2436" s="191">
        <v>42522</v>
      </c>
      <c r="F2436" s="189" t="s">
        <v>1075</v>
      </c>
      <c r="G2436" s="456" t="s">
        <v>605</v>
      </c>
      <c r="H2436" s="7" t="s">
        <v>1581</v>
      </c>
      <c r="I2436" s="256">
        <v>24</v>
      </c>
      <c r="J2436" s="256">
        <v>10484.565320083726</v>
      </c>
      <c r="K2436" s="38">
        <f t="shared" si="128"/>
        <v>251630</v>
      </c>
      <c r="L2436" s="566" t="s">
        <v>167</v>
      </c>
      <c r="M2436" s="566" t="s">
        <v>165</v>
      </c>
      <c r="N2436" s="52" t="str">
        <f>IF(AND('331-CT'!$E$7=TH!H2436,OR(L2436="331",M2436="331")),"331",IF(AND(OR(L2436="131",M2436="131"),H2436='131-CT'!$E$7),"131",""))</f>
        <v/>
      </c>
      <c r="O2436" s="857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0"/>
    </row>
    <row r="2437" spans="1:29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30"/>
        <v>6</v>
      </c>
      <c r="C2437" s="184">
        <f t="shared" si="129"/>
        <v>42522</v>
      </c>
      <c r="D2437" s="184" t="s">
        <v>1579</v>
      </c>
      <c r="E2437" s="191">
        <v>42522</v>
      </c>
      <c r="F2437" s="189" t="s">
        <v>964</v>
      </c>
      <c r="G2437" s="456" t="s">
        <v>605</v>
      </c>
      <c r="H2437" s="7" t="s">
        <v>1581</v>
      </c>
      <c r="I2437" s="256">
        <v>13</v>
      </c>
      <c r="J2437" s="256">
        <v>12018.8919522911</v>
      </c>
      <c r="K2437" s="38">
        <f t="shared" si="128"/>
        <v>156246</v>
      </c>
      <c r="L2437" s="566" t="s">
        <v>167</v>
      </c>
      <c r="M2437" s="566" t="s">
        <v>165</v>
      </c>
      <c r="N2437" s="52" t="str">
        <f>IF(AND('331-CT'!$E$7=TH!H2437,OR(L2437="331",M2437="331")),"331",IF(AND(OR(L2437="131",M2437="131"),H2437='131-CT'!$E$7),"131",""))</f>
        <v/>
      </c>
      <c r="O2437" s="857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0"/>
    </row>
    <row r="2438" spans="1:29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30"/>
        <v>6</v>
      </c>
      <c r="C2438" s="184">
        <f t="shared" si="129"/>
        <v>42522</v>
      </c>
      <c r="D2438" s="184" t="s">
        <v>1579</v>
      </c>
      <c r="E2438" s="191">
        <v>42522</v>
      </c>
      <c r="F2438" s="189" t="s">
        <v>1076</v>
      </c>
      <c r="G2438" s="456" t="s">
        <v>605</v>
      </c>
      <c r="H2438" s="7" t="s">
        <v>1581</v>
      </c>
      <c r="I2438" s="256">
        <v>90</v>
      </c>
      <c r="J2438" s="256">
        <v>10569.805688539691</v>
      </c>
      <c r="K2438" s="38">
        <f t="shared" si="128"/>
        <v>951283</v>
      </c>
      <c r="L2438" s="566" t="s">
        <v>167</v>
      </c>
      <c r="M2438" s="566" t="s">
        <v>165</v>
      </c>
      <c r="N2438" s="52" t="str">
        <f>IF(AND('331-CT'!$E$7=TH!H2438,OR(L2438="331",M2438="331")),"331",IF(AND(OR(L2438="131",M2438="131"),H2438='131-CT'!$E$7),"131",""))</f>
        <v/>
      </c>
      <c r="O2438" s="857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0"/>
    </row>
    <row r="2439" spans="1:29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30"/>
        <v>6</v>
      </c>
      <c r="C2439" s="184">
        <f t="shared" si="129"/>
        <v>42522</v>
      </c>
      <c r="D2439" s="184" t="s">
        <v>1579</v>
      </c>
      <c r="E2439" s="191">
        <v>42522</v>
      </c>
      <c r="F2439" s="189" t="s">
        <v>1077</v>
      </c>
      <c r="G2439" s="456" t="s">
        <v>605</v>
      </c>
      <c r="H2439" s="7" t="s">
        <v>1581</v>
      </c>
      <c r="I2439" s="256">
        <v>24</v>
      </c>
      <c r="J2439" s="256">
        <v>6989.7102133891503</v>
      </c>
      <c r="K2439" s="38">
        <f t="shared" si="128"/>
        <v>167753</v>
      </c>
      <c r="L2439" s="566" t="s">
        <v>167</v>
      </c>
      <c r="M2439" s="566" t="s">
        <v>165</v>
      </c>
      <c r="N2439" s="52" t="str">
        <f>IF(AND('331-CT'!$E$7=TH!H2439,OR(L2439="331",M2439="331")),"331",IF(AND(OR(L2439="131",M2439="131"),H2439='131-CT'!$E$7),"131",""))</f>
        <v/>
      </c>
      <c r="O2439" s="857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0"/>
    </row>
    <row r="2440" spans="1:29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30"/>
        <v>6</v>
      </c>
      <c r="C2440" s="184">
        <f t="shared" si="129"/>
        <v>42522</v>
      </c>
      <c r="D2440" s="184" t="s">
        <v>1579</v>
      </c>
      <c r="E2440" s="191">
        <v>42522</v>
      </c>
      <c r="F2440" s="189" t="s">
        <v>1078</v>
      </c>
      <c r="G2440" s="456" t="s">
        <v>605</v>
      </c>
      <c r="H2440" s="7" t="s">
        <v>1581</v>
      </c>
      <c r="I2440" s="256">
        <v>90</v>
      </c>
      <c r="J2440" s="256">
        <v>11848.41121537917</v>
      </c>
      <c r="K2440" s="38">
        <f t="shared" si="128"/>
        <v>1066357</v>
      </c>
      <c r="L2440" s="566" t="s">
        <v>167</v>
      </c>
      <c r="M2440" s="566" t="s">
        <v>165</v>
      </c>
      <c r="N2440" s="52" t="str">
        <f>IF(AND('331-CT'!$E$7=TH!H2440,OR(L2440="331",M2440="331")),"331",IF(AND(OR(L2440="131",M2440="131"),H2440='131-CT'!$E$7),"131",""))</f>
        <v/>
      </c>
      <c r="O2440" s="857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0"/>
    </row>
    <row r="2441" spans="1:29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30"/>
        <v>6</v>
      </c>
      <c r="C2441" s="184">
        <f t="shared" si="129"/>
        <v>42522</v>
      </c>
      <c r="D2441" s="184" t="s">
        <v>1579</v>
      </c>
      <c r="E2441" s="191">
        <v>42522</v>
      </c>
      <c r="F2441" s="189" t="s">
        <v>1079</v>
      </c>
      <c r="G2441" s="456" t="s">
        <v>605</v>
      </c>
      <c r="H2441" s="7" t="s">
        <v>1581</v>
      </c>
      <c r="I2441" s="256">
        <v>55</v>
      </c>
      <c r="J2441" s="256">
        <v>9973.1231093479346</v>
      </c>
      <c r="K2441" s="38">
        <f t="shared" si="128"/>
        <v>548522</v>
      </c>
      <c r="L2441" s="566" t="s">
        <v>167</v>
      </c>
      <c r="M2441" s="566" t="s">
        <v>165</v>
      </c>
      <c r="N2441" s="52" t="str">
        <f>IF(AND('331-CT'!$E$7=TH!H2441,OR(L2441="331",M2441="331")),"331",IF(AND(OR(L2441="131",M2441="131"),H2441='131-CT'!$E$7),"131",""))</f>
        <v/>
      </c>
      <c r="O2441" s="857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0"/>
    </row>
    <row r="2442" spans="1:29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30"/>
        <v>6</v>
      </c>
      <c r="C2442" s="184">
        <f t="shared" si="129"/>
        <v>42522</v>
      </c>
      <c r="D2442" s="184" t="s">
        <v>1579</v>
      </c>
      <c r="E2442" s="191">
        <v>42522</v>
      </c>
      <c r="F2442" s="189" t="s">
        <v>1080</v>
      </c>
      <c r="G2442" s="456" t="s">
        <v>605</v>
      </c>
      <c r="H2442" s="7" t="s">
        <v>1581</v>
      </c>
      <c r="I2442" s="256">
        <v>210</v>
      </c>
      <c r="J2442" s="256">
        <v>13723.699321410406</v>
      </c>
      <c r="K2442" s="38">
        <f t="shared" si="128"/>
        <v>2881977</v>
      </c>
      <c r="L2442" s="566" t="s">
        <v>167</v>
      </c>
      <c r="M2442" s="566" t="s">
        <v>165</v>
      </c>
      <c r="N2442" s="52" t="str">
        <f>IF(AND('331-CT'!$E$7=TH!H2442,OR(L2442="331",M2442="331")),"331",IF(AND(OR(L2442="131",M2442="131"),H2442='131-CT'!$E$7),"131",""))</f>
        <v/>
      </c>
      <c r="O2442" s="857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0"/>
    </row>
    <row r="2443" spans="1:29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30"/>
        <v>6</v>
      </c>
      <c r="C2443" s="184">
        <f t="shared" si="129"/>
        <v>42522</v>
      </c>
      <c r="D2443" s="184" t="s">
        <v>1579</v>
      </c>
      <c r="E2443" s="191">
        <v>42522</v>
      </c>
      <c r="F2443" s="189" t="s">
        <v>1081</v>
      </c>
      <c r="G2443" s="456" t="s">
        <v>606</v>
      </c>
      <c r="H2443" s="7" t="s">
        <v>1581</v>
      </c>
      <c r="I2443" s="256">
        <v>210</v>
      </c>
      <c r="J2443" s="256">
        <v>9376.4405301561783</v>
      </c>
      <c r="K2443" s="38">
        <f t="shared" si="128"/>
        <v>1969053</v>
      </c>
      <c r="L2443" s="566" t="s">
        <v>167</v>
      </c>
      <c r="M2443" s="566" t="s">
        <v>165</v>
      </c>
      <c r="N2443" s="52" t="str">
        <f>IF(AND('331-CT'!$E$7=TH!H2443,OR(L2443="331",M2443="331")),"331",IF(AND(OR(L2443="131",M2443="131"),H2443='131-CT'!$E$7),"131",""))</f>
        <v/>
      </c>
      <c r="O2443" s="857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0"/>
    </row>
    <row r="2444" spans="1:29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30"/>
        <v>6</v>
      </c>
      <c r="C2444" s="184">
        <f t="shared" si="129"/>
        <v>42522</v>
      </c>
      <c r="D2444" s="184" t="s">
        <v>1579</v>
      </c>
      <c r="E2444" s="191">
        <v>42522</v>
      </c>
      <c r="F2444" s="189" t="s">
        <v>504</v>
      </c>
      <c r="G2444" s="456" t="s">
        <v>606</v>
      </c>
      <c r="H2444" s="7" t="s">
        <v>1581</v>
      </c>
      <c r="I2444" s="256">
        <v>204</v>
      </c>
      <c r="J2444" s="256">
        <v>10910.767162363552</v>
      </c>
      <c r="K2444" s="38">
        <f t="shared" si="128"/>
        <v>2225797</v>
      </c>
      <c r="L2444" s="566" t="s">
        <v>167</v>
      </c>
      <c r="M2444" s="566" t="s">
        <v>165</v>
      </c>
      <c r="N2444" s="52" t="str">
        <f>IF(AND('331-CT'!$E$7=TH!H2444,OR(L2444="331",M2444="331")),"331",IF(AND(OR(L2444="131",M2444="131"),H2444='131-CT'!$E$7),"131",""))</f>
        <v/>
      </c>
      <c r="O2444" s="857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0"/>
      <c r="AC2444" s="557"/>
    </row>
    <row r="2445" spans="1:29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30"/>
        <v>6</v>
      </c>
      <c r="C2445" s="184">
        <f t="shared" si="129"/>
        <v>42522</v>
      </c>
      <c r="D2445" s="184" t="s">
        <v>1579</v>
      </c>
      <c r="E2445" s="191">
        <v>42522</v>
      </c>
      <c r="F2445" s="189" t="s">
        <v>468</v>
      </c>
      <c r="G2445" s="456" t="s">
        <v>607</v>
      </c>
      <c r="H2445" s="7" t="s">
        <v>1581</v>
      </c>
      <c r="I2445" s="256">
        <v>220</v>
      </c>
      <c r="J2445" s="256">
        <v>5966.8257919175676</v>
      </c>
      <c r="K2445" s="38">
        <f t="shared" si="128"/>
        <v>1312702</v>
      </c>
      <c r="L2445" s="566" t="s">
        <v>167</v>
      </c>
      <c r="M2445" s="566" t="s">
        <v>165</v>
      </c>
      <c r="N2445" s="52" t="str">
        <f>IF(AND('331-CT'!$E$7=TH!H2445,OR(L2445="331",M2445="331")),"331",IF(AND(OR(L2445="131",M2445="131"),H2445='131-CT'!$E$7),"131",""))</f>
        <v/>
      </c>
      <c r="O2445" s="857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0"/>
    </row>
    <row r="2446" spans="1:29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30"/>
        <v>6</v>
      </c>
      <c r="C2446" s="184">
        <f t="shared" si="129"/>
        <v>42527</v>
      </c>
      <c r="D2446" s="184" t="s">
        <v>1579</v>
      </c>
      <c r="E2446" s="191">
        <v>42527</v>
      </c>
      <c r="F2446" s="189" t="s">
        <v>444</v>
      </c>
      <c r="G2446" s="456" t="s">
        <v>608</v>
      </c>
      <c r="H2446" s="7" t="s">
        <v>1581</v>
      </c>
      <c r="I2446" s="256">
        <v>780</v>
      </c>
      <c r="J2446" s="256">
        <v>7756.8735294928383</v>
      </c>
      <c r="K2446" s="38">
        <f t="shared" si="128"/>
        <v>6050361</v>
      </c>
      <c r="L2446" s="566" t="s">
        <v>167</v>
      </c>
      <c r="M2446" s="566" t="s">
        <v>165</v>
      </c>
      <c r="N2446" s="52" t="str">
        <f>IF(AND('331-CT'!$E$7=TH!H2446,OR(L2446="331",M2446="331")),"331",IF(AND(OR(L2446="131",M2446="131"),H2446='131-CT'!$E$7),"131",""))</f>
        <v/>
      </c>
      <c r="O2446" s="857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0"/>
    </row>
    <row r="2447" spans="1:29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30"/>
        <v>6</v>
      </c>
      <c r="C2447" s="184">
        <f t="shared" si="129"/>
        <v>42527</v>
      </c>
      <c r="D2447" s="184" t="s">
        <v>1579</v>
      </c>
      <c r="E2447" s="191">
        <v>42527</v>
      </c>
      <c r="F2447" s="189" t="s">
        <v>676</v>
      </c>
      <c r="G2447" s="456" t="s">
        <v>609</v>
      </c>
      <c r="H2447" s="7" t="s">
        <v>1581</v>
      </c>
      <c r="I2447" s="256">
        <v>2000</v>
      </c>
      <c r="J2447" s="256">
        <v>6733.9891080212556</v>
      </c>
      <c r="K2447" s="38">
        <f t="shared" si="128"/>
        <v>13467978</v>
      </c>
      <c r="L2447" s="566" t="s">
        <v>167</v>
      </c>
      <c r="M2447" s="566" t="s">
        <v>165</v>
      </c>
      <c r="N2447" s="52" t="str">
        <f>IF(AND('331-CT'!$E$7=TH!H2447,OR(L2447="331",M2447="331")),"331",IF(AND(OR(L2447="131",M2447="131"),H2447='131-CT'!$E$7),"131",""))</f>
        <v/>
      </c>
      <c r="O2447" s="857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0"/>
    </row>
    <row r="2448" spans="1:29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30"/>
        <v>6</v>
      </c>
      <c r="C2448" s="184">
        <f t="shared" si="129"/>
        <v>42527</v>
      </c>
      <c r="D2448" s="184" t="s">
        <v>1579</v>
      </c>
      <c r="E2448" s="191">
        <v>42527</v>
      </c>
      <c r="F2448" s="189" t="s">
        <v>466</v>
      </c>
      <c r="G2448" s="456" t="s">
        <v>1082</v>
      </c>
      <c r="H2448" s="7" t="s">
        <v>1581</v>
      </c>
      <c r="I2448" s="256">
        <v>517</v>
      </c>
      <c r="J2448" s="256">
        <v>5796.3450550056377</v>
      </c>
      <c r="K2448" s="38">
        <f t="shared" si="128"/>
        <v>2996710</v>
      </c>
      <c r="L2448" s="566" t="s">
        <v>167</v>
      </c>
      <c r="M2448" s="566" t="s">
        <v>165</v>
      </c>
      <c r="N2448" s="52" t="str">
        <f>IF(AND('331-CT'!$E$7=TH!H2448,OR(L2448="331",M2448="331")),"331",IF(AND(OR(L2448="131",M2448="131"),H2448='131-CT'!$E$7),"131",""))</f>
        <v/>
      </c>
      <c r="O2448" s="857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0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30"/>
        <v>6</v>
      </c>
      <c r="C2449" s="184">
        <f t="shared" si="129"/>
        <v>42528</v>
      </c>
      <c r="D2449" s="184" t="s">
        <v>1579</v>
      </c>
      <c r="E2449" s="191">
        <v>42528</v>
      </c>
      <c r="F2449" s="189" t="s">
        <v>657</v>
      </c>
      <c r="G2449" s="456" t="s">
        <v>610</v>
      </c>
      <c r="H2449" s="7" t="s">
        <v>1581</v>
      </c>
      <c r="I2449" s="256">
        <v>308</v>
      </c>
      <c r="J2449" s="256">
        <v>6393.027634197394</v>
      </c>
      <c r="K2449" s="38">
        <f t="shared" si="128"/>
        <v>1969053</v>
      </c>
      <c r="L2449" s="566" t="s">
        <v>167</v>
      </c>
      <c r="M2449" s="566" t="s">
        <v>165</v>
      </c>
      <c r="N2449" s="52" t="str">
        <f>IF(AND('331-CT'!$E$7=TH!H2449,OR(L2449="331",M2449="331")),"331",IF(AND(OR(L2449="131",M2449="131"),H2449='131-CT'!$E$7),"131",""))</f>
        <v/>
      </c>
      <c r="O2449" s="857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0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30"/>
        <v>6</v>
      </c>
      <c r="C2450" s="184">
        <f t="shared" si="129"/>
        <v>42528</v>
      </c>
      <c r="D2450" s="184" t="s">
        <v>1579</v>
      </c>
      <c r="E2450" s="191">
        <v>42528</v>
      </c>
      <c r="F2450" s="189" t="s">
        <v>430</v>
      </c>
      <c r="G2450" s="456" t="s">
        <v>610</v>
      </c>
      <c r="H2450" s="7" t="s">
        <v>1581</v>
      </c>
      <c r="I2450" s="256">
        <v>308</v>
      </c>
      <c r="J2450" s="256">
        <v>8097.8350033166989</v>
      </c>
      <c r="K2450" s="38">
        <f t="shared" si="128"/>
        <v>2494133</v>
      </c>
      <c r="L2450" s="566" t="s">
        <v>167</v>
      </c>
      <c r="M2450" s="566" t="s">
        <v>165</v>
      </c>
      <c r="N2450" s="52" t="str">
        <f>IF(AND('331-CT'!$E$7=TH!H2450,OR(L2450="331",M2450="331")),"331",IF(AND(OR(L2450="131",M2450="131"),H2450='131-CT'!$E$7),"131",""))</f>
        <v/>
      </c>
      <c r="O2450" s="857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0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30"/>
        <v>6</v>
      </c>
      <c r="C2451" s="184">
        <f t="shared" si="129"/>
        <v>42529</v>
      </c>
      <c r="D2451" s="184" t="s">
        <v>1579</v>
      </c>
      <c r="E2451" s="191">
        <v>42529</v>
      </c>
      <c r="F2451" s="189" t="s">
        <v>466</v>
      </c>
      <c r="G2451" s="456" t="s">
        <v>611</v>
      </c>
      <c r="H2451" s="7" t="s">
        <v>1581</v>
      </c>
      <c r="I2451" s="256">
        <v>1023</v>
      </c>
      <c r="J2451" s="256">
        <v>5796.3450550056377</v>
      </c>
      <c r="K2451" s="38">
        <f t="shared" ref="K2451:K2514" si="131">ROUND(I2451*J2451,0)</f>
        <v>5929661</v>
      </c>
      <c r="L2451" s="566" t="s">
        <v>167</v>
      </c>
      <c r="M2451" s="566" t="s">
        <v>165</v>
      </c>
      <c r="N2451" s="52" t="str">
        <f>IF(AND('331-CT'!$E$7=TH!H2451,OR(L2451="331",M2451="331")),"331",IF(AND(OR(L2451="131",M2451="131"),H2451='131-CT'!$E$7),"131",""))</f>
        <v/>
      </c>
      <c r="O2451" s="857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0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30"/>
        <v>6</v>
      </c>
      <c r="C2452" s="184">
        <f t="shared" si="129"/>
        <v>42530</v>
      </c>
      <c r="D2452" s="184" t="s">
        <v>1579</v>
      </c>
      <c r="E2452" s="191">
        <v>42530</v>
      </c>
      <c r="F2452" s="189" t="s">
        <v>1083</v>
      </c>
      <c r="G2452" s="456" t="s">
        <v>612</v>
      </c>
      <c r="H2452" s="7" t="s">
        <v>1581</v>
      </c>
      <c r="I2452" s="256">
        <v>1010</v>
      </c>
      <c r="J2452" s="256">
        <v>11166.488267731449</v>
      </c>
      <c r="K2452" s="38">
        <f t="shared" si="131"/>
        <v>11278153</v>
      </c>
      <c r="L2452" s="566" t="s">
        <v>167</v>
      </c>
      <c r="M2452" s="566" t="s">
        <v>165</v>
      </c>
      <c r="N2452" s="52" t="str">
        <f>IF(AND('331-CT'!$E$7=TH!H2452,OR(L2452="331",M2452="331")),"331",IF(AND(OR(L2452="131",M2452="131"),H2452='131-CT'!$E$7),"131",""))</f>
        <v/>
      </c>
      <c r="O2452" s="857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0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30"/>
        <v>6</v>
      </c>
      <c r="C2453" s="184">
        <f t="shared" si="129"/>
        <v>42530</v>
      </c>
      <c r="D2453" s="184" t="s">
        <v>1579</v>
      </c>
      <c r="E2453" s="191">
        <v>42530</v>
      </c>
      <c r="F2453" s="189" t="s">
        <v>675</v>
      </c>
      <c r="G2453" s="456" t="s">
        <v>612</v>
      </c>
      <c r="H2453" s="7" t="s">
        <v>1581</v>
      </c>
      <c r="I2453" s="256">
        <v>50</v>
      </c>
      <c r="J2453" s="256">
        <v>11166.488267731449</v>
      </c>
      <c r="K2453" s="38">
        <f t="shared" si="131"/>
        <v>558324</v>
      </c>
      <c r="L2453" s="566" t="s">
        <v>167</v>
      </c>
      <c r="M2453" s="566" t="s">
        <v>165</v>
      </c>
      <c r="N2453" s="52" t="str">
        <f>IF(AND('331-CT'!$E$7=TH!H2453,OR(L2453="331",M2453="331")),"331",IF(AND(OR(L2453="131",M2453="131"),H2453='131-CT'!$E$7),"131",""))</f>
        <v/>
      </c>
      <c r="O2453" s="857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0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30"/>
        <v>6</v>
      </c>
      <c r="C2454" s="184">
        <f t="shared" si="129"/>
        <v>42530</v>
      </c>
      <c r="D2454" s="184" t="s">
        <v>1579</v>
      </c>
      <c r="E2454" s="191">
        <v>42530</v>
      </c>
      <c r="F2454" s="189" t="s">
        <v>723</v>
      </c>
      <c r="G2454" s="456" t="s">
        <v>612</v>
      </c>
      <c r="H2454" s="7" t="s">
        <v>1581</v>
      </c>
      <c r="I2454" s="256">
        <v>2120</v>
      </c>
      <c r="J2454" s="256">
        <v>767.16331610368729</v>
      </c>
      <c r="K2454" s="38">
        <f t="shared" si="131"/>
        <v>1626386</v>
      </c>
      <c r="L2454" s="566" t="s">
        <v>167</v>
      </c>
      <c r="M2454" s="566" t="s">
        <v>165</v>
      </c>
      <c r="N2454" s="52" t="str">
        <f>IF(AND('331-CT'!$E$7=TH!H2454,OR(L2454="331",M2454="331")),"331",IF(AND(OR(L2454="131",M2454="131"),H2454='131-CT'!$E$7),"131",""))</f>
        <v/>
      </c>
      <c r="O2454" s="857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0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30"/>
        <v>6</v>
      </c>
      <c r="C2455" s="184">
        <f t="shared" si="129"/>
        <v>42530</v>
      </c>
      <c r="D2455" s="184" t="s">
        <v>1579</v>
      </c>
      <c r="E2455" s="191">
        <v>42530</v>
      </c>
      <c r="F2455" s="189" t="s">
        <v>1060</v>
      </c>
      <c r="G2455" s="456" t="s">
        <v>613</v>
      </c>
      <c r="H2455" s="7" t="s">
        <v>1581</v>
      </c>
      <c r="I2455" s="256">
        <v>490</v>
      </c>
      <c r="J2455" s="256">
        <v>4773.460633534055</v>
      </c>
      <c r="K2455" s="38">
        <f t="shared" si="131"/>
        <v>2338996</v>
      </c>
      <c r="L2455" s="566" t="s">
        <v>167</v>
      </c>
      <c r="M2455" s="566" t="s">
        <v>165</v>
      </c>
      <c r="N2455" s="52" t="str">
        <f>IF(AND('331-CT'!$E$7=TH!H2455,OR(L2455="331",M2455="331")),"331",IF(AND(OR(L2455="131",M2455="131"),H2455='131-CT'!$E$7),"131",""))</f>
        <v/>
      </c>
      <c r="O2455" s="857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0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30"/>
        <v>6</v>
      </c>
      <c r="C2456" s="184">
        <f t="shared" si="129"/>
        <v>42530</v>
      </c>
      <c r="D2456" s="184" t="s">
        <v>1579</v>
      </c>
      <c r="E2456" s="191">
        <v>42530</v>
      </c>
      <c r="F2456" s="189" t="s">
        <v>1085</v>
      </c>
      <c r="G2456" s="456" t="s">
        <v>613</v>
      </c>
      <c r="H2456" s="7" t="s">
        <v>1581</v>
      </c>
      <c r="I2456" s="256">
        <v>510</v>
      </c>
      <c r="J2456" s="256">
        <v>5881.5854234616017</v>
      </c>
      <c r="K2456" s="38">
        <f t="shared" si="131"/>
        <v>2999609</v>
      </c>
      <c r="L2456" s="566" t="s">
        <v>167</v>
      </c>
      <c r="M2456" s="566" t="s">
        <v>165</v>
      </c>
      <c r="N2456" s="52" t="str">
        <f>IF(AND('331-CT'!$E$7=TH!H2456,OR(L2456="331",M2456="331")),"331",IF(AND(OR(L2456="131",M2456="131"),H2456='131-CT'!$E$7),"131",""))</f>
        <v/>
      </c>
      <c r="O2456" s="857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0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30"/>
        <v>6</v>
      </c>
      <c r="C2457" s="184">
        <f t="shared" si="129"/>
        <v>42535</v>
      </c>
      <c r="D2457" s="184" t="s">
        <v>1579</v>
      </c>
      <c r="E2457" s="191">
        <v>42535</v>
      </c>
      <c r="F2457" s="189" t="s">
        <v>466</v>
      </c>
      <c r="G2457" s="456" t="s">
        <v>614</v>
      </c>
      <c r="H2457" s="7" t="s">
        <v>1581</v>
      </c>
      <c r="I2457" s="256">
        <v>402</v>
      </c>
      <c r="J2457" s="256">
        <v>5796.3450550056377</v>
      </c>
      <c r="K2457" s="38">
        <f t="shared" si="131"/>
        <v>2330131</v>
      </c>
      <c r="L2457" s="566" t="s">
        <v>167</v>
      </c>
      <c r="M2457" s="566" t="s">
        <v>165</v>
      </c>
      <c r="N2457" s="52" t="str">
        <f>IF(AND('331-CT'!$E$7=TH!H2457,OR(L2457="331",M2457="331")),"331",IF(AND(OR(L2457="131",M2457="131"),H2457='131-CT'!$E$7),"131",""))</f>
        <v/>
      </c>
      <c r="O2457" s="857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0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30"/>
        <v>6</v>
      </c>
      <c r="C2458" s="184">
        <f t="shared" si="129"/>
        <v>42535</v>
      </c>
      <c r="D2458" s="184" t="s">
        <v>1579</v>
      </c>
      <c r="E2458" s="191">
        <v>42535</v>
      </c>
      <c r="F2458" s="189" t="s">
        <v>542</v>
      </c>
      <c r="G2458" s="456" t="s">
        <v>614</v>
      </c>
      <c r="H2458" s="7" t="s">
        <v>1581</v>
      </c>
      <c r="I2458" s="256">
        <v>317</v>
      </c>
      <c r="J2458" s="256">
        <v>4517.7395281661584</v>
      </c>
      <c r="K2458" s="38">
        <f t="shared" si="131"/>
        <v>1432123</v>
      </c>
      <c r="L2458" s="566" t="s">
        <v>167</v>
      </c>
      <c r="M2458" s="566" t="s">
        <v>165</v>
      </c>
      <c r="N2458" s="52" t="str">
        <f>IF(AND('331-CT'!$E$7=TH!H2458,OR(L2458="331",M2458="331")),"331",IF(AND(OR(L2458="131",M2458="131"),H2458='131-CT'!$E$7),"131",""))</f>
        <v/>
      </c>
      <c r="O2458" s="857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0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30"/>
        <v>6</v>
      </c>
      <c r="C2459" s="184">
        <f t="shared" si="129"/>
        <v>42536</v>
      </c>
      <c r="D2459" s="184" t="s">
        <v>1579</v>
      </c>
      <c r="E2459" s="191">
        <v>42536</v>
      </c>
      <c r="F2459" s="189" t="s">
        <v>1474</v>
      </c>
      <c r="G2459" s="456" t="s">
        <v>615</v>
      </c>
      <c r="H2459" s="7" t="s">
        <v>1581</v>
      </c>
      <c r="I2459" s="256">
        <v>300</v>
      </c>
      <c r="J2459" s="256">
        <v>8097.8350033166989</v>
      </c>
      <c r="K2459" s="38">
        <f t="shared" si="131"/>
        <v>2429351</v>
      </c>
      <c r="L2459" s="566" t="s">
        <v>167</v>
      </c>
      <c r="M2459" s="566" t="s">
        <v>165</v>
      </c>
      <c r="N2459" s="52" t="str">
        <f>IF(AND('331-CT'!$E$7=TH!H2459,OR(L2459="331",M2459="331")),"331",IF(AND(OR(L2459="131",M2459="131"),H2459='131-CT'!$E$7),"131",""))</f>
        <v/>
      </c>
      <c r="O2459" s="857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0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30"/>
        <v>6</v>
      </c>
      <c r="C2460" s="184">
        <f t="shared" si="129"/>
        <v>42539</v>
      </c>
      <c r="D2460" s="184" t="s">
        <v>1579</v>
      </c>
      <c r="E2460" s="191">
        <v>42539</v>
      </c>
      <c r="F2460" s="189" t="s">
        <v>510</v>
      </c>
      <c r="G2460" s="456" t="s">
        <v>616</v>
      </c>
      <c r="H2460" s="7" t="s">
        <v>1581</v>
      </c>
      <c r="I2460" s="256">
        <v>237</v>
      </c>
      <c r="J2460" s="256">
        <v>10825.526793907587</v>
      </c>
      <c r="K2460" s="38">
        <f t="shared" si="131"/>
        <v>2565650</v>
      </c>
      <c r="L2460" s="566" t="s">
        <v>167</v>
      </c>
      <c r="M2460" s="566" t="s">
        <v>165</v>
      </c>
      <c r="N2460" s="52" t="str">
        <f>IF(AND('331-CT'!$E$7=TH!H2460,OR(L2460="331",M2460="331")),"331",IF(AND(OR(L2460="131",M2460="131"),H2460='131-CT'!$E$7),"131",""))</f>
        <v/>
      </c>
      <c r="O2460" s="857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0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30"/>
        <v>6</v>
      </c>
      <c r="C2461" s="184">
        <f t="shared" si="129"/>
        <v>42539</v>
      </c>
      <c r="D2461" s="184" t="s">
        <v>1579</v>
      </c>
      <c r="E2461" s="191">
        <v>42539</v>
      </c>
      <c r="F2461" s="189" t="s">
        <v>503</v>
      </c>
      <c r="G2461" s="456" t="s">
        <v>616</v>
      </c>
      <c r="H2461" s="7" t="s">
        <v>1581</v>
      </c>
      <c r="I2461" s="256">
        <v>51</v>
      </c>
      <c r="J2461" s="256">
        <v>8438.7964771405605</v>
      </c>
      <c r="K2461" s="38">
        <f t="shared" si="131"/>
        <v>430379</v>
      </c>
      <c r="L2461" s="566" t="s">
        <v>167</v>
      </c>
      <c r="M2461" s="566" t="s">
        <v>165</v>
      </c>
      <c r="N2461" s="52" t="str">
        <f>IF(AND('331-CT'!$E$7=TH!H2461,OR(L2461="331",M2461="331")),"331",IF(AND(OR(L2461="131",M2461="131"),H2461='131-CT'!$E$7),"131",""))</f>
        <v/>
      </c>
      <c r="O2461" s="857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0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30"/>
        <v>6</v>
      </c>
      <c r="C2462" s="184">
        <f t="shared" ref="C2462:C2502" si="132">E2462</f>
        <v>42539</v>
      </c>
      <c r="D2462" s="184" t="s">
        <v>1579</v>
      </c>
      <c r="E2462" s="191">
        <v>42539</v>
      </c>
      <c r="F2462" s="189" t="s">
        <v>1079</v>
      </c>
      <c r="G2462" s="456" t="s">
        <v>616</v>
      </c>
      <c r="H2462" s="7" t="s">
        <v>1581</v>
      </c>
      <c r="I2462" s="256">
        <v>55</v>
      </c>
      <c r="J2462" s="256">
        <v>9973.1231093479346</v>
      </c>
      <c r="K2462" s="38">
        <f t="shared" si="131"/>
        <v>548522</v>
      </c>
      <c r="L2462" s="566" t="s">
        <v>167</v>
      </c>
      <c r="M2462" s="566" t="s">
        <v>165</v>
      </c>
      <c r="N2462" s="52" t="str">
        <f>IF(AND('331-CT'!$E$7=TH!H2462,OR(L2462="331",M2462="331")),"331",IF(AND(OR(L2462="131",M2462="131"),H2462='131-CT'!$E$7),"131",""))</f>
        <v/>
      </c>
      <c r="O2462" s="857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0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30"/>
        <v>6</v>
      </c>
      <c r="C2463" s="184">
        <f t="shared" si="132"/>
        <v>42539</v>
      </c>
      <c r="D2463" s="184" t="s">
        <v>1579</v>
      </c>
      <c r="E2463" s="191">
        <v>42539</v>
      </c>
      <c r="F2463" s="189" t="s">
        <v>504</v>
      </c>
      <c r="G2463" s="456" t="s">
        <v>616</v>
      </c>
      <c r="H2463" s="7" t="s">
        <v>1581</v>
      </c>
      <c r="I2463" s="256">
        <v>357</v>
      </c>
      <c r="J2463" s="256">
        <v>10910.767162363552</v>
      </c>
      <c r="K2463" s="38">
        <f t="shared" si="131"/>
        <v>3895144</v>
      </c>
      <c r="L2463" s="566" t="s">
        <v>167</v>
      </c>
      <c r="M2463" s="566" t="s">
        <v>165</v>
      </c>
      <c r="N2463" s="52" t="str">
        <f>IF(AND('331-CT'!$E$7=TH!H2463,OR(L2463="331",M2463="331")),"331",IF(AND(OR(L2463="131",M2463="131"),H2463='131-CT'!$E$7),"131",""))</f>
        <v/>
      </c>
      <c r="O2463" s="857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0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130"/>
        <v>6</v>
      </c>
      <c r="C2464" s="184">
        <f t="shared" si="132"/>
        <v>42539</v>
      </c>
      <c r="D2464" s="184" t="s">
        <v>1579</v>
      </c>
      <c r="E2464" s="191">
        <v>42539</v>
      </c>
      <c r="F2464" s="189" t="s">
        <v>504</v>
      </c>
      <c r="G2464" s="456" t="s">
        <v>617</v>
      </c>
      <c r="H2464" s="7" t="s">
        <v>1581</v>
      </c>
      <c r="I2464" s="256">
        <v>764</v>
      </c>
      <c r="J2464" s="256">
        <v>10910.767162363552</v>
      </c>
      <c r="K2464" s="38">
        <f t="shared" si="131"/>
        <v>8335826</v>
      </c>
      <c r="L2464" s="566" t="s">
        <v>167</v>
      </c>
      <c r="M2464" s="566" t="s">
        <v>165</v>
      </c>
      <c r="N2464" s="52" t="str">
        <f>IF(AND('331-CT'!$E$7=TH!H2464,OR(L2464="331",M2464="331")),"331",IF(AND(OR(L2464="131",M2464="131"),H2464='131-CT'!$E$7),"131",""))</f>
        <v/>
      </c>
      <c r="O2464" s="857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0"/>
    </row>
    <row r="2465" spans="1:29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30"/>
        <v>6</v>
      </c>
      <c r="C2465" s="184">
        <f t="shared" si="132"/>
        <v>42539</v>
      </c>
      <c r="D2465" s="184" t="s">
        <v>1579</v>
      </c>
      <c r="E2465" s="191">
        <v>42539</v>
      </c>
      <c r="F2465" s="189" t="s">
        <v>507</v>
      </c>
      <c r="G2465" s="456" t="s">
        <v>618</v>
      </c>
      <c r="H2465" s="7" t="s">
        <v>1581</v>
      </c>
      <c r="I2465" s="256">
        <v>214</v>
      </c>
      <c r="J2465" s="256">
        <v>7927.3542664047691</v>
      </c>
      <c r="K2465" s="38">
        <f t="shared" si="131"/>
        <v>1696454</v>
      </c>
      <c r="L2465" s="566" t="s">
        <v>167</v>
      </c>
      <c r="M2465" s="566" t="s">
        <v>165</v>
      </c>
      <c r="N2465" s="52" t="str">
        <f>IF(AND('331-CT'!$E$7=TH!H2465,OR(L2465="331",M2465="331")),"331",IF(AND(OR(L2465="131",M2465="131"),H2465='131-CT'!$E$7),"131",""))</f>
        <v/>
      </c>
      <c r="O2465" s="857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0"/>
    </row>
    <row r="2466" spans="1:29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30"/>
        <v>6</v>
      </c>
      <c r="C2466" s="184">
        <f t="shared" si="132"/>
        <v>42541</v>
      </c>
      <c r="D2466" s="184" t="s">
        <v>1579</v>
      </c>
      <c r="E2466" s="191">
        <v>42541</v>
      </c>
      <c r="F2466" s="189" t="s">
        <v>1016</v>
      </c>
      <c r="G2466" s="456" t="s">
        <v>619</v>
      </c>
      <c r="H2466" s="7" t="s">
        <v>1581</v>
      </c>
      <c r="I2466" s="256">
        <v>88</v>
      </c>
      <c r="J2466" s="256">
        <v>11507.449741555311</v>
      </c>
      <c r="K2466" s="38">
        <f t="shared" si="131"/>
        <v>1012656</v>
      </c>
      <c r="L2466" s="566" t="s">
        <v>167</v>
      </c>
      <c r="M2466" s="566" t="s">
        <v>165</v>
      </c>
      <c r="N2466" s="52" t="str">
        <f>IF(AND('331-CT'!$E$7=TH!H2466,OR(L2466="331",M2466="331")),"331",IF(AND(OR(L2466="131",M2466="131"),H2466='131-CT'!$E$7),"131",""))</f>
        <v/>
      </c>
      <c r="O2466" s="857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0"/>
    </row>
    <row r="2467" spans="1:29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30"/>
        <v>6</v>
      </c>
      <c r="C2467" s="184">
        <f t="shared" si="132"/>
        <v>42541</v>
      </c>
      <c r="D2467" s="184" t="s">
        <v>1579</v>
      </c>
      <c r="E2467" s="191">
        <v>42541</v>
      </c>
      <c r="F2467" s="189" t="s">
        <v>1079</v>
      </c>
      <c r="G2467" s="456" t="s">
        <v>619</v>
      </c>
      <c r="H2467" s="7" t="s">
        <v>1581</v>
      </c>
      <c r="I2467" s="256">
        <v>35</v>
      </c>
      <c r="J2467" s="256">
        <v>9973.1231093479346</v>
      </c>
      <c r="K2467" s="38">
        <f t="shared" si="131"/>
        <v>349059</v>
      </c>
      <c r="L2467" s="566" t="s">
        <v>167</v>
      </c>
      <c r="M2467" s="566" t="s">
        <v>165</v>
      </c>
      <c r="N2467" s="52" t="str">
        <f>IF(AND('331-CT'!$E$7=TH!H2467,OR(L2467="331",M2467="331")),"331",IF(AND(OR(L2467="131",M2467="131"),H2467='131-CT'!$E$7),"131",""))</f>
        <v/>
      </c>
      <c r="O2467" s="857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0"/>
    </row>
    <row r="2468" spans="1:29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30"/>
        <v>6</v>
      </c>
      <c r="C2468" s="184">
        <f t="shared" si="132"/>
        <v>42541</v>
      </c>
      <c r="D2468" s="184" t="s">
        <v>1579</v>
      </c>
      <c r="E2468" s="191">
        <v>42541</v>
      </c>
      <c r="F2468" s="189" t="s">
        <v>692</v>
      </c>
      <c r="G2468" s="456" t="s">
        <v>619</v>
      </c>
      <c r="H2468" s="7" t="s">
        <v>1581</v>
      </c>
      <c r="I2468" s="256">
        <v>27</v>
      </c>
      <c r="J2468" s="256">
        <v>6222.5468972854633</v>
      </c>
      <c r="K2468" s="38">
        <f t="shared" si="131"/>
        <v>168009</v>
      </c>
      <c r="L2468" s="566" t="s">
        <v>167</v>
      </c>
      <c r="M2468" s="566" t="s">
        <v>165</v>
      </c>
      <c r="N2468" s="52" t="str">
        <f>IF(AND('331-CT'!$E$7=TH!H2468,OR(L2468="331",M2468="331")),"331",IF(AND(OR(L2468="131",M2468="131"),H2468='131-CT'!$E$7),"131",""))</f>
        <v/>
      </c>
      <c r="O2468" s="857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0"/>
    </row>
    <row r="2469" spans="1:29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30"/>
        <v>6</v>
      </c>
      <c r="C2469" s="184">
        <f t="shared" si="132"/>
        <v>42541</v>
      </c>
      <c r="D2469" s="184" t="s">
        <v>1579</v>
      </c>
      <c r="E2469" s="191">
        <v>42541</v>
      </c>
      <c r="F2469" s="189" t="s">
        <v>438</v>
      </c>
      <c r="G2469" s="456" t="s">
        <v>619</v>
      </c>
      <c r="H2469" s="7" t="s">
        <v>1581</v>
      </c>
      <c r="I2469" s="256">
        <v>51</v>
      </c>
      <c r="J2469" s="256">
        <v>11251.728636187414</v>
      </c>
      <c r="K2469" s="38">
        <f t="shared" si="131"/>
        <v>573838</v>
      </c>
      <c r="L2469" s="566" t="s">
        <v>167</v>
      </c>
      <c r="M2469" s="566" t="s">
        <v>165</v>
      </c>
      <c r="N2469" s="52" t="str">
        <f>IF(AND('331-CT'!$E$7=TH!H2469,OR(L2469="331",M2469="331")),"331",IF(AND(OR(L2469="131",M2469="131"),H2469='131-CT'!$E$7),"131",""))</f>
        <v/>
      </c>
      <c r="O2469" s="857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0"/>
    </row>
    <row r="2470" spans="1:29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30"/>
        <v>6</v>
      </c>
      <c r="C2470" s="184">
        <f t="shared" si="132"/>
        <v>42541</v>
      </c>
      <c r="D2470" s="184" t="s">
        <v>1579</v>
      </c>
      <c r="E2470" s="191">
        <v>42541</v>
      </c>
      <c r="F2470" s="189" t="s">
        <v>1086</v>
      </c>
      <c r="G2470" s="456" t="s">
        <v>620</v>
      </c>
      <c r="H2470" s="7" t="s">
        <v>1581</v>
      </c>
      <c r="I2470" s="256">
        <v>2250</v>
      </c>
      <c r="J2470" s="256">
        <v>3750.5762120624713</v>
      </c>
      <c r="K2470" s="38">
        <f t="shared" si="131"/>
        <v>8438796</v>
      </c>
      <c r="L2470" s="566" t="s">
        <v>167</v>
      </c>
      <c r="M2470" s="566" t="s">
        <v>165</v>
      </c>
      <c r="N2470" s="52" t="str">
        <f>IF(AND('331-CT'!$E$7=TH!H2470,OR(L2470="331",M2470="331")),"331",IF(AND(OR(L2470="131",M2470="131"),H2470='131-CT'!$E$7),"131",""))</f>
        <v/>
      </c>
      <c r="O2470" s="857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0"/>
    </row>
    <row r="2471" spans="1:29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30"/>
        <v>6</v>
      </c>
      <c r="C2471" s="184">
        <f t="shared" si="132"/>
        <v>42542</v>
      </c>
      <c r="D2471" s="184" t="s">
        <v>1579</v>
      </c>
      <c r="E2471" s="191">
        <v>42542</v>
      </c>
      <c r="F2471" s="189" t="s">
        <v>964</v>
      </c>
      <c r="G2471" s="456" t="s">
        <v>621</v>
      </c>
      <c r="H2471" s="7" t="s">
        <v>1581</v>
      </c>
      <c r="I2471" s="256">
        <v>245</v>
      </c>
      <c r="J2471" s="256">
        <v>12018.8919522911</v>
      </c>
      <c r="K2471" s="38">
        <f t="shared" si="131"/>
        <v>2944629</v>
      </c>
      <c r="L2471" s="566" t="s">
        <v>167</v>
      </c>
      <c r="M2471" s="566" t="s">
        <v>165</v>
      </c>
      <c r="N2471" s="52" t="str">
        <f>IF(AND('331-CT'!$E$7=TH!H2471,OR(L2471="331",M2471="331")),"331",IF(AND(OR(L2471="131",M2471="131"),H2471='131-CT'!$E$7),"131",""))</f>
        <v/>
      </c>
      <c r="O2471" s="857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0"/>
    </row>
    <row r="2472" spans="1:29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30"/>
        <v>6</v>
      </c>
      <c r="C2472" s="184">
        <f t="shared" si="132"/>
        <v>42542</v>
      </c>
      <c r="D2472" s="184" t="s">
        <v>1579</v>
      </c>
      <c r="E2472" s="191">
        <v>42542</v>
      </c>
      <c r="F2472" s="189" t="s">
        <v>1087</v>
      </c>
      <c r="G2472" s="456" t="s">
        <v>621</v>
      </c>
      <c r="H2472" s="7" t="s">
        <v>1581</v>
      </c>
      <c r="I2472" s="256">
        <v>30</v>
      </c>
      <c r="J2472" s="256">
        <v>9035.4790563323168</v>
      </c>
      <c r="K2472" s="38">
        <f t="shared" si="131"/>
        <v>271064</v>
      </c>
      <c r="L2472" s="566" t="s">
        <v>167</v>
      </c>
      <c r="M2472" s="566" t="s">
        <v>165</v>
      </c>
      <c r="N2472" s="52" t="str">
        <f>IF(AND('331-CT'!$E$7=TH!H2472,OR(L2472="331",M2472="331")),"331",IF(AND(OR(L2472="131",M2472="131"),H2472='131-CT'!$E$7),"131",""))</f>
        <v/>
      </c>
      <c r="O2472" s="857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0"/>
    </row>
    <row r="2473" spans="1:29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30"/>
        <v>6</v>
      </c>
      <c r="C2473" s="184">
        <f t="shared" si="132"/>
        <v>42542</v>
      </c>
      <c r="D2473" s="184" t="s">
        <v>1579</v>
      </c>
      <c r="E2473" s="191">
        <v>42542</v>
      </c>
      <c r="F2473" s="189" t="s">
        <v>510</v>
      </c>
      <c r="G2473" s="456" t="s">
        <v>621</v>
      </c>
      <c r="H2473" s="7" t="s">
        <v>1581</v>
      </c>
      <c r="I2473" s="256">
        <v>641</v>
      </c>
      <c r="J2473" s="256">
        <v>10825.526793907587</v>
      </c>
      <c r="K2473" s="38">
        <f t="shared" si="131"/>
        <v>6939163</v>
      </c>
      <c r="L2473" s="566" t="s">
        <v>167</v>
      </c>
      <c r="M2473" s="566" t="s">
        <v>165</v>
      </c>
      <c r="N2473" s="52" t="str">
        <f>IF(AND('331-CT'!$E$7=TH!H2473,OR(L2473="331",M2473="331")),"331",IF(AND(OR(L2473="131",M2473="131"),H2473='131-CT'!$E$7),"131",""))</f>
        <v/>
      </c>
      <c r="O2473" s="857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0"/>
      <c r="AC2473" s="557"/>
    </row>
    <row r="2474" spans="1:29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ref="B2474:B2537" si="133">IF(C2474&lt;&gt;"",MONTH(C2474),"")</f>
        <v>6</v>
      </c>
      <c r="C2474" s="184">
        <f t="shared" si="132"/>
        <v>42543</v>
      </c>
      <c r="D2474" s="184" t="s">
        <v>1579</v>
      </c>
      <c r="E2474" s="191">
        <v>42543</v>
      </c>
      <c r="F2474" s="189" t="s">
        <v>466</v>
      </c>
      <c r="G2474" s="456" t="s">
        <v>622</v>
      </c>
      <c r="H2474" s="7" t="s">
        <v>1581</v>
      </c>
      <c r="I2474" s="256">
        <v>834</v>
      </c>
      <c r="J2474" s="256">
        <v>5796.3450550056377</v>
      </c>
      <c r="K2474" s="38">
        <f t="shared" si="131"/>
        <v>4834152</v>
      </c>
      <c r="L2474" s="566" t="s">
        <v>167</v>
      </c>
      <c r="M2474" s="566" t="s">
        <v>165</v>
      </c>
      <c r="N2474" s="52" t="str">
        <f>IF(AND('331-CT'!$E$7=TH!H2474,OR(L2474="331",M2474="331")),"331",IF(AND(OR(L2474="131",M2474="131"),H2474='131-CT'!$E$7),"131",""))</f>
        <v/>
      </c>
      <c r="O2474" s="857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0"/>
      <c r="AC2474" s="557"/>
    </row>
    <row r="2475" spans="1:29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33"/>
        <v>6</v>
      </c>
      <c r="C2475" s="184">
        <f t="shared" si="132"/>
        <v>42543</v>
      </c>
      <c r="D2475" s="184" t="s">
        <v>1579</v>
      </c>
      <c r="E2475" s="191">
        <v>42543</v>
      </c>
      <c r="F2475" s="189" t="s">
        <v>466</v>
      </c>
      <c r="G2475" s="456" t="s">
        <v>622</v>
      </c>
      <c r="H2475" s="7" t="s">
        <v>1581</v>
      </c>
      <c r="I2475" s="256">
        <v>322</v>
      </c>
      <c r="J2475" s="256">
        <v>5796.3450550056377</v>
      </c>
      <c r="K2475" s="38">
        <f t="shared" si="131"/>
        <v>1866423</v>
      </c>
      <c r="L2475" s="566" t="s">
        <v>167</v>
      </c>
      <c r="M2475" s="566" t="s">
        <v>165</v>
      </c>
      <c r="N2475" s="52" t="str">
        <f>IF(AND('331-CT'!$E$7=TH!H2475,OR(L2475="331",M2475="331")),"331",IF(AND(OR(L2475="131",M2475="131"),H2475='131-CT'!$E$7),"131",""))</f>
        <v/>
      </c>
      <c r="O2475" s="857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0"/>
    </row>
    <row r="2476" spans="1:29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33"/>
        <v>6</v>
      </c>
      <c r="C2476" s="184">
        <f t="shared" si="132"/>
        <v>42543</v>
      </c>
      <c r="D2476" s="184" t="s">
        <v>1579</v>
      </c>
      <c r="E2476" s="191">
        <v>42543</v>
      </c>
      <c r="F2476" s="189" t="s">
        <v>1088</v>
      </c>
      <c r="G2476" s="456" t="s">
        <v>623</v>
      </c>
      <c r="H2476" s="7" t="s">
        <v>1581</v>
      </c>
      <c r="I2476" s="256">
        <v>720</v>
      </c>
      <c r="J2476" s="256">
        <v>11848.41121537917</v>
      </c>
      <c r="K2476" s="38">
        <f t="shared" si="131"/>
        <v>8530856</v>
      </c>
      <c r="L2476" s="566" t="s">
        <v>167</v>
      </c>
      <c r="M2476" s="566" t="s">
        <v>165</v>
      </c>
      <c r="N2476" s="52" t="str">
        <f>IF(AND('331-CT'!$E$7=TH!H2476,OR(L2476="331",M2476="331")),"331",IF(AND(OR(L2476="131",M2476="131"),H2476='131-CT'!$E$7),"131",""))</f>
        <v/>
      </c>
      <c r="O2476" s="857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0"/>
    </row>
    <row r="2477" spans="1:29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33"/>
        <v>6</v>
      </c>
      <c r="C2477" s="184">
        <f t="shared" si="132"/>
        <v>42543</v>
      </c>
      <c r="D2477" s="184" t="s">
        <v>1579</v>
      </c>
      <c r="E2477" s="191">
        <v>42543</v>
      </c>
      <c r="F2477" s="189" t="s">
        <v>1079</v>
      </c>
      <c r="G2477" s="456" t="s">
        <v>623</v>
      </c>
      <c r="H2477" s="7" t="s">
        <v>1581</v>
      </c>
      <c r="I2477" s="256">
        <v>12</v>
      </c>
      <c r="J2477" s="256">
        <v>9973.1231093479346</v>
      </c>
      <c r="K2477" s="38">
        <f t="shared" si="131"/>
        <v>119677</v>
      </c>
      <c r="L2477" s="566" t="s">
        <v>167</v>
      </c>
      <c r="M2477" s="566" t="s">
        <v>165</v>
      </c>
      <c r="N2477" s="52" t="str">
        <f>IF(AND('331-CT'!$E$7=TH!H2477,OR(L2477="331",M2477="331")),"331",IF(AND(OR(L2477="131",M2477="131"),H2477='131-CT'!$E$7),"131",""))</f>
        <v/>
      </c>
      <c r="O2477" s="857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0"/>
      <c r="AC2477" s="557"/>
    </row>
    <row r="2478" spans="1:29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33"/>
        <v>6</v>
      </c>
      <c r="C2478" s="184">
        <f t="shared" si="132"/>
        <v>42544</v>
      </c>
      <c r="D2478" s="184" t="s">
        <v>1579</v>
      </c>
      <c r="E2478" s="191">
        <v>42544</v>
      </c>
      <c r="F2478" s="189" t="s">
        <v>1089</v>
      </c>
      <c r="G2478" s="456" t="s">
        <v>625</v>
      </c>
      <c r="H2478" s="7" t="s">
        <v>1581</v>
      </c>
      <c r="I2478" s="256">
        <v>304</v>
      </c>
      <c r="J2478" s="256">
        <v>5370.1432127258113</v>
      </c>
      <c r="K2478" s="38">
        <f t="shared" si="131"/>
        <v>1632524</v>
      </c>
      <c r="L2478" s="566" t="s">
        <v>167</v>
      </c>
      <c r="M2478" s="566" t="s">
        <v>165</v>
      </c>
      <c r="N2478" s="52" t="str">
        <f>IF(AND('331-CT'!$E$7=TH!H2478,OR(L2478="331",M2478="331")),"331",IF(AND(OR(L2478="131",M2478="131"),H2478='131-CT'!$E$7),"131",""))</f>
        <v/>
      </c>
      <c r="O2478" s="857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0"/>
    </row>
    <row r="2479" spans="1:29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33"/>
        <v>6</v>
      </c>
      <c r="C2479" s="184">
        <f t="shared" si="132"/>
        <v>42545</v>
      </c>
      <c r="D2479" s="184" t="s">
        <v>1579</v>
      </c>
      <c r="E2479" s="191">
        <v>42545</v>
      </c>
      <c r="F2479" s="189" t="s">
        <v>466</v>
      </c>
      <c r="G2479" s="456" t="s">
        <v>626</v>
      </c>
      <c r="H2479" s="7" t="s">
        <v>1581</v>
      </c>
      <c r="I2479" s="256">
        <v>534</v>
      </c>
      <c r="J2479" s="256">
        <v>5796.3450550056377</v>
      </c>
      <c r="K2479" s="38">
        <f t="shared" si="131"/>
        <v>3095248</v>
      </c>
      <c r="L2479" s="566" t="s">
        <v>167</v>
      </c>
      <c r="M2479" s="566" t="s">
        <v>165</v>
      </c>
      <c r="N2479" s="52" t="str">
        <f>IF(AND('331-CT'!$E$7=TH!H2479,OR(L2479="331",M2479="331")),"331",IF(AND(OR(L2479="131",M2479="131"),H2479='131-CT'!$E$7),"131",""))</f>
        <v/>
      </c>
      <c r="O2479" s="857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0"/>
      <c r="AC2479" s="557"/>
    </row>
    <row r="2480" spans="1:29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33"/>
        <v>6</v>
      </c>
      <c r="C2480" s="184">
        <f t="shared" si="132"/>
        <v>42545</v>
      </c>
      <c r="D2480" s="184" t="s">
        <v>1579</v>
      </c>
      <c r="E2480" s="191">
        <v>42545</v>
      </c>
      <c r="F2480" s="189" t="s">
        <v>466</v>
      </c>
      <c r="G2480" s="456" t="s">
        <v>626</v>
      </c>
      <c r="H2480" s="7" t="s">
        <v>1581</v>
      </c>
      <c r="I2480" s="256">
        <v>99</v>
      </c>
      <c r="J2480" s="256">
        <v>5796.3450550056377</v>
      </c>
      <c r="K2480" s="38">
        <f t="shared" si="131"/>
        <v>573838</v>
      </c>
      <c r="L2480" s="566" t="s">
        <v>167</v>
      </c>
      <c r="M2480" s="566" t="s">
        <v>165</v>
      </c>
      <c r="N2480" s="52" t="str">
        <f>IF(AND('331-CT'!$E$7=TH!H2480,OR(L2480="331",M2480="331")),"331",IF(AND(OR(L2480="131",M2480="131"),H2480='131-CT'!$E$7),"131",""))</f>
        <v/>
      </c>
      <c r="O2480" s="857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0"/>
    </row>
    <row r="2481" spans="1:29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33"/>
        <v>6</v>
      </c>
      <c r="C2481" s="184">
        <f t="shared" si="132"/>
        <v>42545</v>
      </c>
      <c r="D2481" s="184" t="s">
        <v>1579</v>
      </c>
      <c r="E2481" s="191">
        <v>42545</v>
      </c>
      <c r="F2481" s="189" t="s">
        <v>459</v>
      </c>
      <c r="G2481" s="456" t="s">
        <v>629</v>
      </c>
      <c r="H2481" s="7" t="s">
        <v>1581</v>
      </c>
      <c r="I2481" s="256">
        <v>628</v>
      </c>
      <c r="J2481" s="256">
        <v>10314.084583171796</v>
      </c>
      <c r="K2481" s="38">
        <f t="shared" si="131"/>
        <v>6477245</v>
      </c>
      <c r="L2481" s="566" t="s">
        <v>167</v>
      </c>
      <c r="M2481" s="566" t="s">
        <v>165</v>
      </c>
      <c r="N2481" s="52" t="str">
        <f>IF(AND('331-CT'!$E$7=TH!H2481,OR(L2481="331",M2481="331")),"331",IF(AND(OR(L2481="131",M2481="131"),H2481='131-CT'!$E$7),"131",""))</f>
        <v/>
      </c>
      <c r="O2481" s="857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0"/>
    </row>
    <row r="2482" spans="1:29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33"/>
        <v>6</v>
      </c>
      <c r="C2482" s="184">
        <f t="shared" si="132"/>
        <v>42545</v>
      </c>
      <c r="D2482" s="184" t="s">
        <v>1579</v>
      </c>
      <c r="E2482" s="191">
        <v>42545</v>
      </c>
      <c r="F2482" s="189" t="s">
        <v>1468</v>
      </c>
      <c r="G2482" s="456" t="s">
        <v>630</v>
      </c>
      <c r="H2482" s="7" t="s">
        <v>1581</v>
      </c>
      <c r="I2482" s="256">
        <v>3000</v>
      </c>
      <c r="J2482" s="256">
        <v>3324.3743697826449</v>
      </c>
      <c r="K2482" s="38">
        <f t="shared" si="131"/>
        <v>9973123</v>
      </c>
      <c r="L2482" s="566" t="s">
        <v>167</v>
      </c>
      <c r="M2482" s="566" t="s">
        <v>165</v>
      </c>
      <c r="N2482" s="52" t="str">
        <f>IF(AND('331-CT'!$E$7=TH!H2482,OR(L2482="331",M2482="331")),"331",IF(AND(OR(L2482="131",M2482="131"),H2482='131-CT'!$E$7),"131",""))</f>
        <v/>
      </c>
      <c r="O2482" s="857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0"/>
      <c r="AC2482" s="557"/>
    </row>
    <row r="2483" spans="1:29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33"/>
        <v>6</v>
      </c>
      <c r="C2483" s="184">
        <f t="shared" si="132"/>
        <v>42548</v>
      </c>
      <c r="D2483" s="184" t="s">
        <v>1579</v>
      </c>
      <c r="E2483" s="191">
        <v>42548</v>
      </c>
      <c r="F2483" s="189" t="s">
        <v>466</v>
      </c>
      <c r="G2483" s="456" t="s">
        <v>631</v>
      </c>
      <c r="H2483" s="7" t="s">
        <v>1581</v>
      </c>
      <c r="I2483" s="256">
        <v>509</v>
      </c>
      <c r="J2483" s="256">
        <v>5796.3450550056377</v>
      </c>
      <c r="K2483" s="38">
        <f t="shared" si="131"/>
        <v>2950340</v>
      </c>
      <c r="L2483" s="566" t="s">
        <v>167</v>
      </c>
      <c r="M2483" s="566" t="s">
        <v>165</v>
      </c>
      <c r="N2483" s="52" t="str">
        <f>IF(AND('331-CT'!$E$7=TH!H2483,OR(L2483="331",M2483="331")),"331",IF(AND(OR(L2483="131",M2483="131"),H2483='131-CT'!$E$7),"131",""))</f>
        <v/>
      </c>
      <c r="O2483" s="857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0"/>
    </row>
    <row r="2484" spans="1:29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33"/>
        <v>6</v>
      </c>
      <c r="C2484" s="184">
        <f t="shared" si="132"/>
        <v>42548</v>
      </c>
      <c r="D2484" s="184" t="s">
        <v>1579</v>
      </c>
      <c r="E2484" s="191">
        <v>42548</v>
      </c>
      <c r="F2484" s="189" t="s">
        <v>466</v>
      </c>
      <c r="G2484" s="456" t="s">
        <v>631</v>
      </c>
      <c r="H2484" s="7" t="s">
        <v>1581</v>
      </c>
      <c r="I2484" s="256">
        <v>1104</v>
      </c>
      <c r="J2484" s="256">
        <v>5796.3450550056377</v>
      </c>
      <c r="K2484" s="38">
        <f t="shared" si="131"/>
        <v>6399165</v>
      </c>
      <c r="L2484" s="566" t="s">
        <v>167</v>
      </c>
      <c r="M2484" s="566" t="s">
        <v>165</v>
      </c>
      <c r="N2484" s="52" t="str">
        <f>IF(AND('331-CT'!$E$7=TH!H2484,OR(L2484="331",M2484="331")),"331",IF(AND(OR(L2484="131",M2484="131"),H2484='131-CT'!$E$7),"131",""))</f>
        <v/>
      </c>
      <c r="O2484" s="857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0"/>
      <c r="AC2484" s="557"/>
    </row>
    <row r="2485" spans="1:29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33"/>
        <v>6</v>
      </c>
      <c r="C2485" s="184">
        <f t="shared" si="132"/>
        <v>42548</v>
      </c>
      <c r="D2485" s="184" t="s">
        <v>1579</v>
      </c>
      <c r="E2485" s="191">
        <v>42548</v>
      </c>
      <c r="F2485" s="189" t="s">
        <v>1474</v>
      </c>
      <c r="G2485" s="456" t="s">
        <v>632</v>
      </c>
      <c r="H2485" s="7" t="s">
        <v>1581</v>
      </c>
      <c r="I2485" s="256">
        <v>522</v>
      </c>
      <c r="J2485" s="256">
        <v>8097.8350033166989</v>
      </c>
      <c r="K2485" s="38">
        <f t="shared" si="131"/>
        <v>4227070</v>
      </c>
      <c r="L2485" s="566" t="s">
        <v>167</v>
      </c>
      <c r="M2485" s="566" t="s">
        <v>165</v>
      </c>
      <c r="N2485" s="52" t="str">
        <f>IF(AND('331-CT'!$E$7=TH!H2485,OR(L2485="331",M2485="331")),"331",IF(AND(OR(L2485="131",M2485="131"),H2485='131-CT'!$E$7),"131",""))</f>
        <v/>
      </c>
      <c r="O2485" s="857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0"/>
    </row>
    <row r="2486" spans="1:29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33"/>
        <v>6</v>
      </c>
      <c r="C2486" s="184">
        <f t="shared" si="132"/>
        <v>42549</v>
      </c>
      <c r="D2486" s="184" t="s">
        <v>1579</v>
      </c>
      <c r="E2486" s="191">
        <v>42549</v>
      </c>
      <c r="F2486" s="189" t="s">
        <v>419</v>
      </c>
      <c r="G2486" s="456" t="s">
        <v>1092</v>
      </c>
      <c r="H2486" s="7" t="s">
        <v>1581</v>
      </c>
      <c r="I2486" s="256">
        <v>1300</v>
      </c>
      <c r="J2486" s="256">
        <v>6989.7102133891503</v>
      </c>
      <c r="K2486" s="38">
        <f t="shared" si="131"/>
        <v>9086623</v>
      </c>
      <c r="L2486" s="566" t="s">
        <v>167</v>
      </c>
      <c r="M2486" s="566" t="s">
        <v>165</v>
      </c>
      <c r="N2486" s="52" t="str">
        <f>IF(AND('331-CT'!$E$7=TH!H2486,OR(L2486="331",M2486="331")),"331",IF(AND(OR(L2486="131",M2486="131"),H2486='131-CT'!$E$7),"131",""))</f>
        <v/>
      </c>
      <c r="O2486" s="857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0"/>
      <c r="AC2486" s="557"/>
    </row>
    <row r="2487" spans="1:29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33"/>
        <v>6</v>
      </c>
      <c r="C2487" s="184">
        <f t="shared" si="132"/>
        <v>42549</v>
      </c>
      <c r="D2487" s="184" t="s">
        <v>1579</v>
      </c>
      <c r="E2487" s="191">
        <v>42549</v>
      </c>
      <c r="F2487" s="189" t="s">
        <v>422</v>
      </c>
      <c r="G2487" s="456" t="s">
        <v>1092</v>
      </c>
      <c r="H2487" s="7" t="s">
        <v>1581</v>
      </c>
      <c r="I2487" s="256">
        <v>338</v>
      </c>
      <c r="J2487" s="256">
        <v>8268.3157402286288</v>
      </c>
      <c r="K2487" s="38">
        <f t="shared" si="131"/>
        <v>2794691</v>
      </c>
      <c r="L2487" s="566" t="s">
        <v>167</v>
      </c>
      <c r="M2487" s="566" t="s">
        <v>165</v>
      </c>
      <c r="N2487" s="52" t="str">
        <f>IF(AND('331-CT'!$E$7=TH!H2487,OR(L2487="331",M2487="331")),"331",IF(AND(OR(L2487="131",M2487="131"),H2487='131-CT'!$E$7),"131",""))</f>
        <v/>
      </c>
      <c r="O2487" s="857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0"/>
    </row>
    <row r="2488" spans="1:29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33"/>
        <v>6</v>
      </c>
      <c r="C2488" s="184">
        <f t="shared" si="132"/>
        <v>42549</v>
      </c>
      <c r="D2488" s="184" t="s">
        <v>1579</v>
      </c>
      <c r="E2488" s="191">
        <v>42549</v>
      </c>
      <c r="F2488" s="189" t="s">
        <v>656</v>
      </c>
      <c r="G2488" s="456" t="s">
        <v>1092</v>
      </c>
      <c r="H2488" s="7" t="s">
        <v>1581</v>
      </c>
      <c r="I2488" s="256">
        <v>316</v>
      </c>
      <c r="J2488" s="256">
        <v>12615.574531482858</v>
      </c>
      <c r="K2488" s="38">
        <f t="shared" si="131"/>
        <v>3986522</v>
      </c>
      <c r="L2488" s="566" t="s">
        <v>167</v>
      </c>
      <c r="M2488" s="566" t="s">
        <v>165</v>
      </c>
      <c r="N2488" s="52" t="str">
        <f>IF(AND('331-CT'!$E$7=TH!H2488,OR(L2488="331",M2488="331")),"331",IF(AND(OR(L2488="131",M2488="131"),H2488='131-CT'!$E$7),"131",""))</f>
        <v/>
      </c>
      <c r="O2488" s="857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0"/>
    </row>
    <row r="2489" spans="1:29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33"/>
        <v>6</v>
      </c>
      <c r="C2489" s="184">
        <f t="shared" si="132"/>
        <v>42550</v>
      </c>
      <c r="D2489" s="184" t="s">
        <v>1579</v>
      </c>
      <c r="E2489" s="191">
        <v>42550</v>
      </c>
      <c r="F2489" s="189" t="s">
        <v>1093</v>
      </c>
      <c r="G2489" s="456" t="s">
        <v>633</v>
      </c>
      <c r="H2489" s="7" t="s">
        <v>1581</v>
      </c>
      <c r="I2489" s="256">
        <v>71</v>
      </c>
      <c r="J2489" s="256">
        <v>5966.8257919175676</v>
      </c>
      <c r="K2489" s="38">
        <f t="shared" si="131"/>
        <v>423645</v>
      </c>
      <c r="L2489" s="566" t="s">
        <v>167</v>
      </c>
      <c r="M2489" s="566" t="s">
        <v>165</v>
      </c>
      <c r="N2489" s="52" t="str">
        <f>IF(AND('331-CT'!$E$7=TH!H2489,OR(L2489="331",M2489="331")),"331",IF(AND(OR(L2489="131",M2489="131"),H2489='131-CT'!$E$7),"131",""))</f>
        <v/>
      </c>
      <c r="O2489" s="857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0"/>
      <c r="AC2489" s="557"/>
    </row>
    <row r="2490" spans="1:29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33"/>
        <v>6</v>
      </c>
      <c r="C2490" s="184">
        <f t="shared" si="132"/>
        <v>42550</v>
      </c>
      <c r="D2490" s="184" t="s">
        <v>1579</v>
      </c>
      <c r="E2490" s="191">
        <v>42550</v>
      </c>
      <c r="F2490" s="189" t="s">
        <v>1060</v>
      </c>
      <c r="G2490" s="456" t="s">
        <v>633</v>
      </c>
      <c r="H2490" s="7" t="s">
        <v>1581</v>
      </c>
      <c r="I2490" s="256">
        <v>535</v>
      </c>
      <c r="J2490" s="256">
        <v>4773.460633534055</v>
      </c>
      <c r="K2490" s="38">
        <f t="shared" si="131"/>
        <v>2553801</v>
      </c>
      <c r="L2490" s="566" t="s">
        <v>167</v>
      </c>
      <c r="M2490" s="566" t="s">
        <v>165</v>
      </c>
      <c r="N2490" s="52" t="str">
        <f>IF(AND('331-CT'!$E$7=TH!H2490,OR(L2490="331",M2490="331")),"331",IF(AND(OR(L2490="131",M2490="131"),H2490='131-CT'!$E$7),"131",""))</f>
        <v/>
      </c>
      <c r="O2490" s="857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0"/>
    </row>
    <row r="2491" spans="1:29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33"/>
        <v>6</v>
      </c>
      <c r="C2491" s="184">
        <f t="shared" si="132"/>
        <v>42550</v>
      </c>
      <c r="D2491" s="184" t="s">
        <v>1579</v>
      </c>
      <c r="E2491" s="191">
        <v>42550</v>
      </c>
      <c r="F2491" s="189" t="s">
        <v>1094</v>
      </c>
      <c r="G2491" s="456" t="s">
        <v>633</v>
      </c>
      <c r="H2491" s="7" t="s">
        <v>1581</v>
      </c>
      <c r="I2491" s="256">
        <v>333</v>
      </c>
      <c r="J2491" s="256">
        <v>4006.2973174303665</v>
      </c>
      <c r="K2491" s="38">
        <f t="shared" si="131"/>
        <v>1334097</v>
      </c>
      <c r="L2491" s="566" t="s">
        <v>167</v>
      </c>
      <c r="M2491" s="566" t="s">
        <v>165</v>
      </c>
      <c r="N2491" s="52" t="str">
        <f>IF(AND('331-CT'!$E$7=TH!H2491,OR(L2491="331",M2491="331")),"331",IF(AND(OR(L2491="131",M2491="131"),H2491='131-CT'!$E$7),"131",""))</f>
        <v/>
      </c>
      <c r="O2491" s="857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0"/>
    </row>
    <row r="2492" spans="1:29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33"/>
        <v>6</v>
      </c>
      <c r="C2492" s="184">
        <f t="shared" si="132"/>
        <v>42550</v>
      </c>
      <c r="D2492" s="184" t="s">
        <v>1579</v>
      </c>
      <c r="E2492" s="191">
        <v>42550</v>
      </c>
      <c r="F2492" s="189" t="s">
        <v>675</v>
      </c>
      <c r="G2492" s="456" t="s">
        <v>1095</v>
      </c>
      <c r="H2492" s="7" t="s">
        <v>1581</v>
      </c>
      <c r="I2492" s="256">
        <v>1055</v>
      </c>
      <c r="J2492" s="256">
        <v>9717.402003980038</v>
      </c>
      <c r="K2492" s="38">
        <f t="shared" si="131"/>
        <v>10251859</v>
      </c>
      <c r="L2492" s="566" t="s">
        <v>167</v>
      </c>
      <c r="M2492" s="566" t="s">
        <v>165</v>
      </c>
      <c r="N2492" s="52" t="str">
        <f>IF(AND('331-CT'!$E$7=TH!H2492,OR(L2492="331",M2492="331")),"331",IF(AND(OR(L2492="131",M2492="131"),H2492='131-CT'!$E$7),"131",""))</f>
        <v/>
      </c>
      <c r="O2492" s="857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0"/>
    </row>
    <row r="2493" spans="1:29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133"/>
        <v>6</v>
      </c>
      <c r="C2493" s="184">
        <f t="shared" si="132"/>
        <v>42550</v>
      </c>
      <c r="D2493" s="184" t="s">
        <v>1579</v>
      </c>
      <c r="E2493" s="191">
        <v>42550</v>
      </c>
      <c r="F2493" s="189" t="s">
        <v>675</v>
      </c>
      <c r="G2493" s="456" t="s">
        <v>1095</v>
      </c>
      <c r="H2493" s="7" t="s">
        <v>1581</v>
      </c>
      <c r="I2493" s="256">
        <v>100</v>
      </c>
      <c r="J2493" s="256">
        <v>9717.402003980038</v>
      </c>
      <c r="K2493" s="38">
        <f t="shared" si="131"/>
        <v>971740</v>
      </c>
      <c r="L2493" s="566" t="s">
        <v>167</v>
      </c>
      <c r="M2493" s="566" t="s">
        <v>165</v>
      </c>
      <c r="N2493" s="52" t="str">
        <f>IF(AND('331-CT'!$E$7=TH!H2493,OR(L2493="331",M2493="331")),"331",IF(AND(OR(L2493="131",M2493="131"),H2493='131-CT'!$E$7),"131",""))</f>
        <v/>
      </c>
      <c r="O2493" s="857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0"/>
    </row>
    <row r="2494" spans="1:29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133"/>
        <v>6</v>
      </c>
      <c r="C2494" s="184">
        <f t="shared" si="132"/>
        <v>42550</v>
      </c>
      <c r="D2494" s="184" t="s">
        <v>1579</v>
      </c>
      <c r="E2494" s="191">
        <v>42550</v>
      </c>
      <c r="F2494" s="189" t="s">
        <v>723</v>
      </c>
      <c r="G2494" s="456" t="s">
        <v>1095</v>
      </c>
      <c r="H2494" s="7" t="s">
        <v>1581</v>
      </c>
      <c r="I2494" s="256">
        <v>2000</v>
      </c>
      <c r="J2494" s="256">
        <v>767.16331610368729</v>
      </c>
      <c r="K2494" s="38">
        <f t="shared" si="131"/>
        <v>1534327</v>
      </c>
      <c r="L2494" s="566" t="s">
        <v>167</v>
      </c>
      <c r="M2494" s="566" t="s">
        <v>165</v>
      </c>
      <c r="N2494" s="52" t="str">
        <f>IF(AND('331-CT'!$E$7=TH!H2494,OR(L2494="331",M2494="331")),"331",IF(AND(OR(L2494="131",M2494="131"),H2494='131-CT'!$E$7),"131",""))</f>
        <v/>
      </c>
      <c r="O2494" s="857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0"/>
    </row>
    <row r="2495" spans="1:29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133"/>
        <v>6</v>
      </c>
      <c r="C2495" s="184">
        <f t="shared" si="132"/>
        <v>42550</v>
      </c>
      <c r="D2495" s="184" t="s">
        <v>1579</v>
      </c>
      <c r="E2495" s="191">
        <v>42550</v>
      </c>
      <c r="F2495" s="189" t="s">
        <v>1275</v>
      </c>
      <c r="G2495" s="456" t="s">
        <v>634</v>
      </c>
      <c r="H2495" s="7" t="s">
        <v>1581</v>
      </c>
      <c r="I2495" s="256">
        <v>200</v>
      </c>
      <c r="J2495" s="256">
        <v>15002.304848249885</v>
      </c>
      <c r="K2495" s="38">
        <f t="shared" si="131"/>
        <v>3000461</v>
      </c>
      <c r="L2495" s="566" t="s">
        <v>167</v>
      </c>
      <c r="M2495" s="566" t="s">
        <v>165</v>
      </c>
      <c r="N2495" s="52" t="str">
        <f>IF(AND('331-CT'!$E$7=TH!H2495,OR(L2495="331",M2495="331")),"331",IF(AND(OR(L2495="131",M2495="131"),H2495='131-CT'!$E$7),"131",""))</f>
        <v/>
      </c>
      <c r="O2495" s="857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0"/>
    </row>
    <row r="2496" spans="1:29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133"/>
        <v>6</v>
      </c>
      <c r="C2496" s="184">
        <f t="shared" si="132"/>
        <v>42550</v>
      </c>
      <c r="D2496" s="184" t="s">
        <v>1579</v>
      </c>
      <c r="E2496" s="191">
        <v>42550</v>
      </c>
      <c r="F2496" s="189" t="s">
        <v>1096</v>
      </c>
      <c r="G2496" s="456" t="s">
        <v>635</v>
      </c>
      <c r="H2496" s="7" t="s">
        <v>1581</v>
      </c>
      <c r="I2496" s="256">
        <v>1320</v>
      </c>
      <c r="J2496" s="256">
        <v>9887.8827408919697</v>
      </c>
      <c r="K2496" s="38">
        <f t="shared" si="131"/>
        <v>13052005</v>
      </c>
      <c r="L2496" s="566" t="s">
        <v>167</v>
      </c>
      <c r="M2496" s="566" t="s">
        <v>165</v>
      </c>
      <c r="N2496" s="52" t="str">
        <f>IF(AND('331-CT'!$E$7=TH!H2496,OR(L2496="331",M2496="331")),"331",IF(AND(OR(L2496="131",M2496="131"),H2496='131-CT'!$E$7),"131",""))</f>
        <v/>
      </c>
      <c r="O2496" s="857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0"/>
      <c r="AC2496" s="557"/>
    </row>
    <row r="2497" spans="1:30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33"/>
        <v>6</v>
      </c>
      <c r="C2497" s="184">
        <f t="shared" si="132"/>
        <v>42550</v>
      </c>
      <c r="D2497" s="184" t="s">
        <v>1579</v>
      </c>
      <c r="E2497" s="191">
        <v>42550</v>
      </c>
      <c r="F2497" s="189" t="s">
        <v>1097</v>
      </c>
      <c r="G2497" s="456" t="s">
        <v>635</v>
      </c>
      <c r="H2497" s="7" t="s">
        <v>1581</v>
      </c>
      <c r="I2497" s="256">
        <v>320</v>
      </c>
      <c r="J2497" s="256">
        <v>11848.41121537917</v>
      </c>
      <c r="K2497" s="38">
        <f t="shared" si="131"/>
        <v>3791492</v>
      </c>
      <c r="L2497" s="566" t="s">
        <v>167</v>
      </c>
      <c r="M2497" s="566" t="s">
        <v>165</v>
      </c>
      <c r="N2497" s="52" t="str">
        <f>IF(AND('331-CT'!$E$7=TH!H2497,OR(L2497="331",M2497="331")),"331",IF(AND(OR(L2497="131",M2497="131"),H2497='131-CT'!$E$7),"131",""))</f>
        <v/>
      </c>
      <c r="O2497" s="857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0"/>
    </row>
    <row r="2498" spans="1:30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33"/>
        <v>6</v>
      </c>
      <c r="C2498" s="184">
        <f t="shared" si="132"/>
        <v>42550</v>
      </c>
      <c r="D2498" s="184" t="s">
        <v>1579</v>
      </c>
      <c r="E2498" s="191">
        <v>42550</v>
      </c>
      <c r="F2498" s="189" t="s">
        <v>1098</v>
      </c>
      <c r="G2498" s="456" t="s">
        <v>635</v>
      </c>
      <c r="H2498" s="7" t="s">
        <v>1581</v>
      </c>
      <c r="I2498" s="256">
        <v>28</v>
      </c>
      <c r="J2498" s="256">
        <v>11933.651583835135</v>
      </c>
      <c r="K2498" s="38">
        <f t="shared" si="131"/>
        <v>334142</v>
      </c>
      <c r="L2498" s="566" t="s">
        <v>167</v>
      </c>
      <c r="M2498" s="566" t="s">
        <v>165</v>
      </c>
      <c r="N2498" s="52" t="str">
        <f>IF(AND('331-CT'!$E$7=TH!H2498,OR(L2498="331",M2498="331")),"331",IF(AND(OR(L2498="131",M2498="131"),H2498='131-CT'!$E$7),"131",""))</f>
        <v/>
      </c>
      <c r="O2498" s="857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0"/>
    </row>
    <row r="2499" spans="1:30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33"/>
        <v>6</v>
      </c>
      <c r="C2499" s="184">
        <f t="shared" si="132"/>
        <v>42550</v>
      </c>
      <c r="D2499" s="184" t="s">
        <v>1579</v>
      </c>
      <c r="E2499" s="191">
        <v>42550</v>
      </c>
      <c r="F2499" s="189" t="s">
        <v>990</v>
      </c>
      <c r="G2499" s="456" t="s">
        <v>635</v>
      </c>
      <c r="H2499" s="7" t="s">
        <v>1581</v>
      </c>
      <c r="I2499" s="256">
        <v>245</v>
      </c>
      <c r="J2499" s="256">
        <v>10996.007530819517</v>
      </c>
      <c r="K2499" s="38">
        <f t="shared" si="131"/>
        <v>2694022</v>
      </c>
      <c r="L2499" s="566" t="s">
        <v>167</v>
      </c>
      <c r="M2499" s="566" t="s">
        <v>165</v>
      </c>
      <c r="N2499" s="52" t="str">
        <f>IF(AND('331-CT'!$E$7=TH!H2499,OR(L2499="331",M2499="331")),"331",IF(AND(OR(L2499="131",M2499="131"),H2499='131-CT'!$E$7),"131",""))</f>
        <v/>
      </c>
      <c r="O2499" s="857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0"/>
      <c r="AC2499" s="557"/>
    </row>
    <row r="2500" spans="1:30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133"/>
        <v>6</v>
      </c>
      <c r="C2500" s="184">
        <f t="shared" si="132"/>
        <v>42550</v>
      </c>
      <c r="D2500" s="184" t="s">
        <v>1579</v>
      </c>
      <c r="E2500" s="191">
        <v>42550</v>
      </c>
      <c r="F2500" s="189" t="s">
        <v>1018</v>
      </c>
      <c r="G2500" s="456" t="s">
        <v>635</v>
      </c>
      <c r="H2500" s="7" t="s">
        <v>1581</v>
      </c>
      <c r="I2500" s="256">
        <v>52</v>
      </c>
      <c r="J2500" s="256">
        <v>10228.844214715829</v>
      </c>
      <c r="K2500" s="38">
        <f t="shared" si="131"/>
        <v>531900</v>
      </c>
      <c r="L2500" s="566" t="s">
        <v>167</v>
      </c>
      <c r="M2500" s="566" t="s">
        <v>165</v>
      </c>
      <c r="N2500" s="52" t="str">
        <f>IF(AND('331-CT'!$E$7=TH!H2500,OR(L2500="331",M2500="331")),"331",IF(AND(OR(L2500="131",M2500="131"),H2500='131-CT'!$E$7),"131",""))</f>
        <v/>
      </c>
      <c r="O2500" s="857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790"/>
    </row>
    <row r="2501" spans="1:30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133"/>
        <v>6</v>
      </c>
      <c r="C2501" s="184">
        <f t="shared" si="132"/>
        <v>42550</v>
      </c>
      <c r="D2501" s="184" t="s">
        <v>1579</v>
      </c>
      <c r="E2501" s="191">
        <v>42550</v>
      </c>
      <c r="F2501" s="189" t="s">
        <v>657</v>
      </c>
      <c r="G2501" s="456" t="s">
        <v>636</v>
      </c>
      <c r="H2501" s="7" t="s">
        <v>1581</v>
      </c>
      <c r="I2501" s="256">
        <v>410</v>
      </c>
      <c r="J2501" s="256">
        <v>6393.027634197394</v>
      </c>
      <c r="K2501" s="38">
        <f t="shared" si="131"/>
        <v>2621141</v>
      </c>
      <c r="L2501" s="566" t="s">
        <v>167</v>
      </c>
      <c r="M2501" s="566" t="s">
        <v>165</v>
      </c>
      <c r="N2501" s="52" t="str">
        <f>IF(AND('331-CT'!$E$7=TH!H2501,OR(L2501="331",M2501="331")),"331",IF(AND(OR(L2501="131",M2501="131"),H2501='131-CT'!$E$7),"131",""))</f>
        <v/>
      </c>
      <c r="O2501" s="857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790"/>
    </row>
    <row r="2502" spans="1:30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133"/>
        <v>6</v>
      </c>
      <c r="C2502" s="184">
        <f t="shared" si="132"/>
        <v>42550</v>
      </c>
      <c r="D2502" s="184" t="s">
        <v>1579</v>
      </c>
      <c r="E2502" s="191">
        <v>42550</v>
      </c>
      <c r="F2502" s="189" t="s">
        <v>1470</v>
      </c>
      <c r="G2502" s="456" t="s">
        <v>638</v>
      </c>
      <c r="H2502" s="7" t="s">
        <v>1581</v>
      </c>
      <c r="I2502" s="256">
        <v>800</v>
      </c>
      <c r="J2502" s="256">
        <v>6989.7102133891503</v>
      </c>
      <c r="K2502" s="38">
        <f t="shared" si="131"/>
        <v>5591768</v>
      </c>
      <c r="L2502" s="566" t="s">
        <v>167</v>
      </c>
      <c r="M2502" s="566" t="s">
        <v>165</v>
      </c>
      <c r="N2502" s="52" t="str">
        <f>IF(AND('331-CT'!$E$7=TH!H2502,OR(L2502="331",M2502="331")),"331",IF(AND(OR(L2502="131",M2502="131"),H2502='131-CT'!$E$7),"131",""))</f>
        <v/>
      </c>
      <c r="O2502" s="857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790"/>
    </row>
    <row r="2503" spans="1:30" s="211" customFormat="1" ht="15.75" customHeight="1">
      <c r="A2503" s="204" t="str">
        <f>IF(B2503&lt;&gt;"",IF(AND(B2503&gt;=_TM1,B2503&lt;=_TM2,OR(TH!L2539="1111",TH!M2539="1111")),TH!D2539,""),"")</f>
        <v/>
      </c>
      <c r="B2503" s="36">
        <f t="shared" si="133"/>
        <v>1</v>
      </c>
      <c r="C2503" s="184">
        <v>42006</v>
      </c>
      <c r="D2503" s="184" t="s">
        <v>1579</v>
      </c>
      <c r="E2503" s="726">
        <v>42550</v>
      </c>
      <c r="F2503" s="189" t="s">
        <v>459</v>
      </c>
      <c r="G2503" s="456" t="s">
        <v>641</v>
      </c>
      <c r="H2503" s="7" t="s">
        <v>1581</v>
      </c>
      <c r="I2503" s="256">
        <v>628</v>
      </c>
      <c r="J2503" s="256">
        <v>10314.084583171796</v>
      </c>
      <c r="K2503" s="38">
        <f t="shared" si="131"/>
        <v>6477245</v>
      </c>
      <c r="L2503" s="566" t="s">
        <v>167</v>
      </c>
      <c r="M2503" s="566" t="s">
        <v>165</v>
      </c>
      <c r="N2503" s="52" t="str">
        <f>IF(AND('331-CT'!$E$7=TH!H2503,OR(L2503="331",M2503="331")),"331",IF(AND(OR(L2503="131",M2503="131"),H2503='131-CT'!$E$7),"131",""))</f>
        <v/>
      </c>
      <c r="O2503" s="857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790"/>
    </row>
    <row r="2504" spans="1:30" s="211" customFormat="1" ht="15.75" customHeight="1">
      <c r="A2504" s="204" t="str">
        <f>IF(B2504&lt;&gt;"",IF(AND(B2504&gt;=_TM1,B2504&lt;=_TM2,OR(TH!L2540="1111",TH!M2540="1111")),TH!D2540,""),"")</f>
        <v/>
      </c>
      <c r="B2504" s="36">
        <f t="shared" si="133"/>
        <v>1</v>
      </c>
      <c r="C2504" s="184">
        <v>42006</v>
      </c>
      <c r="D2504" s="184" t="s">
        <v>1579</v>
      </c>
      <c r="E2504" s="726">
        <v>42550</v>
      </c>
      <c r="F2504" s="189" t="s">
        <v>1099</v>
      </c>
      <c r="G2504" s="456" t="s">
        <v>643</v>
      </c>
      <c r="H2504" s="7" t="s">
        <v>1581</v>
      </c>
      <c r="I2504" s="256">
        <v>53</v>
      </c>
      <c r="J2504" s="256">
        <v>72113.351713746611</v>
      </c>
      <c r="K2504" s="38">
        <f t="shared" si="131"/>
        <v>3822008</v>
      </c>
      <c r="L2504" s="566" t="s">
        <v>167</v>
      </c>
      <c r="M2504" s="566" t="s">
        <v>165</v>
      </c>
      <c r="N2504" s="52" t="str">
        <f>IF(AND('331-CT'!$E$7=TH!H2504,OR(L2504="331",M2504="331")),"331",IF(AND(OR(L2504="131",M2504="131"),H2504='131-CT'!$E$7),"131",""))</f>
        <v/>
      </c>
      <c r="O2504" s="857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790"/>
    </row>
    <row r="2505" spans="1:30" s="211" customFormat="1" ht="15.75" customHeight="1">
      <c r="A2505" s="204" t="str">
        <f>IF(B2505&lt;&gt;"",IF(AND(B2505&gt;=_TM1,B2505&lt;=_TM2,OR(TH!L2541="1111",TH!M2541="1111")),TH!D2541,""),"")</f>
        <v/>
      </c>
      <c r="B2505" s="36">
        <f t="shared" si="133"/>
        <v>1</v>
      </c>
      <c r="C2505" s="184">
        <v>42006</v>
      </c>
      <c r="D2505" s="184" t="s">
        <v>1579</v>
      </c>
      <c r="E2505" s="726">
        <v>42550</v>
      </c>
      <c r="F2505" s="189" t="s">
        <v>448</v>
      </c>
      <c r="G2505" s="456" t="s">
        <v>643</v>
      </c>
      <c r="H2505" s="7" t="s">
        <v>1581</v>
      </c>
      <c r="I2505" s="256">
        <v>120</v>
      </c>
      <c r="J2505" s="256">
        <v>61799.267130574808</v>
      </c>
      <c r="K2505" s="38">
        <f t="shared" si="131"/>
        <v>7415912</v>
      </c>
      <c r="L2505" s="566" t="s">
        <v>167</v>
      </c>
      <c r="M2505" s="566" t="s">
        <v>165</v>
      </c>
      <c r="N2505" s="52" t="str">
        <f>IF(AND('331-CT'!$E$7=TH!H2505,OR(L2505="331",M2505="331")),"331",IF(AND(OR(L2505="131",M2505="131"),H2505='131-CT'!$E$7),"131",""))</f>
        <v/>
      </c>
      <c r="O2505" s="857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790"/>
    </row>
    <row r="2506" spans="1:30" s="211" customFormat="1" ht="15.75" customHeight="1">
      <c r="A2506" s="204" t="str">
        <f>IF(B2506&lt;&gt;"",IF(AND(B2506&gt;=_TM1,B2506&lt;=_TM2,OR(TH!L2542="1111",TH!M2542="1111")),TH!D2542,""),"")</f>
        <v/>
      </c>
      <c r="B2506" s="36">
        <f t="shared" si="133"/>
        <v>1</v>
      </c>
      <c r="C2506" s="184">
        <v>42006</v>
      </c>
      <c r="D2506" s="184" t="s">
        <v>1579</v>
      </c>
      <c r="E2506" s="726">
        <v>42550</v>
      </c>
      <c r="F2506" s="189" t="s">
        <v>1100</v>
      </c>
      <c r="G2506" s="456" t="s">
        <v>643</v>
      </c>
      <c r="H2506" s="7" t="s">
        <v>1581</v>
      </c>
      <c r="I2506" s="256">
        <v>13</v>
      </c>
      <c r="J2506" s="256">
        <v>43728.309017910171</v>
      </c>
      <c r="K2506" s="38">
        <f t="shared" si="131"/>
        <v>568468</v>
      </c>
      <c r="L2506" s="566" t="s">
        <v>167</v>
      </c>
      <c r="M2506" s="566" t="s">
        <v>165</v>
      </c>
      <c r="N2506" s="52" t="str">
        <f>IF(AND('331-CT'!$E$7=TH!H2506,OR(L2506="331",M2506="331")),"331",IF(AND(OR(L2506="131",M2506="131"),H2506='131-CT'!$E$7),"131",""))</f>
        <v/>
      </c>
      <c r="O2506" s="857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790"/>
    </row>
    <row r="2507" spans="1:30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133"/>
        <v>6</v>
      </c>
      <c r="C2507" s="184">
        <f t="shared" ref="C2507:C2570" si="134">E2507</f>
        <v>42550</v>
      </c>
      <c r="D2507" s="184" t="s">
        <v>1579</v>
      </c>
      <c r="E2507" s="191">
        <v>42550</v>
      </c>
      <c r="F2507" s="189" t="s">
        <v>525</v>
      </c>
      <c r="G2507" s="456" t="s">
        <v>643</v>
      </c>
      <c r="H2507" s="7" t="s">
        <v>1581</v>
      </c>
      <c r="I2507" s="256">
        <v>51</v>
      </c>
      <c r="J2507" s="256">
        <v>49098.452230635987</v>
      </c>
      <c r="K2507" s="38">
        <f t="shared" si="131"/>
        <v>2504021</v>
      </c>
      <c r="L2507" s="566" t="s">
        <v>167</v>
      </c>
      <c r="M2507" s="566" t="s">
        <v>165</v>
      </c>
      <c r="N2507" s="52" t="str">
        <f>IF(AND('331-CT'!$E$7=TH!H2507,OR(L2507="331",M2507="331")),"331",IF(AND(OR(L2507="131",M2507="131"),H2507='131-CT'!$E$7),"131",""))</f>
        <v/>
      </c>
      <c r="O2507" s="857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790"/>
      <c r="AC2507" s="557"/>
      <c r="AD2507" s="557"/>
    </row>
    <row r="2508" spans="1:30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133"/>
        <v>6</v>
      </c>
      <c r="C2508" s="184">
        <f t="shared" si="134"/>
        <v>42551</v>
      </c>
      <c r="D2508" s="184" t="s">
        <v>1579</v>
      </c>
      <c r="E2508" s="191">
        <v>42551</v>
      </c>
      <c r="F2508" s="189" t="s">
        <v>681</v>
      </c>
      <c r="G2508" s="456" t="s">
        <v>644</v>
      </c>
      <c r="H2508" s="7" t="s">
        <v>1581</v>
      </c>
      <c r="I2508" s="256">
        <v>220</v>
      </c>
      <c r="J2508" s="256">
        <v>7160.1909503010811</v>
      </c>
      <c r="K2508" s="38">
        <f t="shared" si="131"/>
        <v>1575242</v>
      </c>
      <c r="L2508" s="566" t="s">
        <v>167</v>
      </c>
      <c r="M2508" s="566" t="s">
        <v>165</v>
      </c>
      <c r="N2508" s="52" t="str">
        <f>IF(AND('331-CT'!$E$7=TH!H2508,OR(L2508="331",M2508="331")),"331",IF(AND(OR(L2508="131",M2508="131"),H2508='131-CT'!$E$7),"131",""))</f>
        <v/>
      </c>
      <c r="O2508" s="857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790"/>
      <c r="AC2508" s="557"/>
    </row>
    <row r="2509" spans="1:30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133"/>
        <v>6</v>
      </c>
      <c r="C2509" s="184">
        <f t="shared" si="134"/>
        <v>42551</v>
      </c>
      <c r="D2509" s="184" t="s">
        <v>1579</v>
      </c>
      <c r="E2509" s="191">
        <v>42551</v>
      </c>
      <c r="F2509" s="189" t="s">
        <v>570</v>
      </c>
      <c r="G2509" s="456" t="s">
        <v>644</v>
      </c>
      <c r="H2509" s="7" t="s">
        <v>1581</v>
      </c>
      <c r="I2509" s="256">
        <v>529</v>
      </c>
      <c r="J2509" s="256">
        <v>8268.3157402286288</v>
      </c>
      <c r="K2509" s="38">
        <f t="shared" si="131"/>
        <v>4373939</v>
      </c>
      <c r="L2509" s="566" t="s">
        <v>167</v>
      </c>
      <c r="M2509" s="566" t="s">
        <v>165</v>
      </c>
      <c r="N2509" s="52" t="str">
        <f>IF(AND('331-CT'!$E$7=TH!H2509,OR(L2509="331",M2509="331")),"331",IF(AND(OR(L2509="131",M2509="131"),H2509='131-CT'!$E$7),"131",""))</f>
        <v/>
      </c>
      <c r="O2509" s="857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790"/>
    </row>
    <row r="2510" spans="1:30" s="827" customFormat="1" ht="15.75" customHeight="1">
      <c r="A2510" s="924" t="str">
        <f>IF(B2510&lt;&gt;"",IF(AND(B2510&gt;=_TM1,B2510&lt;=_TM2,OR(TH!L2510="1111",TH!M2510="1111")),TH!D2510,""),"")</f>
        <v/>
      </c>
      <c r="B2510" s="818">
        <f t="shared" si="133"/>
        <v>7</v>
      </c>
      <c r="C2510" s="819">
        <f t="shared" si="134"/>
        <v>42556</v>
      </c>
      <c r="D2510" s="819" t="s">
        <v>1579</v>
      </c>
      <c r="E2510" s="820">
        <v>42556</v>
      </c>
      <c r="F2510" s="828" t="s">
        <v>1474</v>
      </c>
      <c r="G2510" s="822" t="s">
        <v>646</v>
      </c>
      <c r="H2510" s="823" t="s">
        <v>1581</v>
      </c>
      <c r="I2510" s="824">
        <v>498</v>
      </c>
      <c r="J2510" s="824">
        <v>11673.570112762354</v>
      </c>
      <c r="K2510" s="868">
        <f t="shared" si="131"/>
        <v>5813438</v>
      </c>
      <c r="L2510" s="931" t="s">
        <v>167</v>
      </c>
      <c r="M2510" s="931" t="s">
        <v>165</v>
      </c>
      <c r="N2510" s="52" t="str">
        <f>IF(AND('331-CT'!$E$7=TH!H2510,OR(L2510="331",M2510="331")),"331",IF(AND(OR(L2510="131",M2510="131"),H2510='131-CT'!$E$7),"131",""))</f>
        <v/>
      </c>
      <c r="O2510" s="857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>x</v>
      </c>
      <c r="AB2510" s="928"/>
    </row>
    <row r="2511" spans="1:30" s="211" customFormat="1" ht="15.75" customHeight="1">
      <c r="A2511" s="204" t="str">
        <f>IF(B2511&lt;&gt;"",IF(AND(B2511&gt;=_TM1,B2511&lt;=_TM2,OR(TH!L2521="1111",TH!M2521="1111")),TH!D2521,""),"")</f>
        <v/>
      </c>
      <c r="B2511" s="36">
        <f t="shared" si="133"/>
        <v>7</v>
      </c>
      <c r="C2511" s="184">
        <f t="shared" si="134"/>
        <v>42557</v>
      </c>
      <c r="D2511" s="184" t="s">
        <v>1579</v>
      </c>
      <c r="E2511" s="191">
        <v>42557</v>
      </c>
      <c r="F2511" s="189" t="s">
        <v>1286</v>
      </c>
      <c r="G2511" s="456" t="s">
        <v>647</v>
      </c>
      <c r="H2511" s="7" t="s">
        <v>1581</v>
      </c>
      <c r="I2511" s="256">
        <v>1320</v>
      </c>
      <c r="J2511" s="256">
        <v>10076.134202594874</v>
      </c>
      <c r="K2511" s="38">
        <f t="shared" si="131"/>
        <v>13300497</v>
      </c>
      <c r="L2511" s="566" t="s">
        <v>167</v>
      </c>
      <c r="M2511" s="566" t="s">
        <v>165</v>
      </c>
      <c r="N2511" s="52" t="str">
        <f>IF(AND('331-CT'!$E$7=TH!H2511,OR(L2511="331",M2511="331")),"331",IF(AND(OR(L2511="131",M2511="131"),H2511='131-CT'!$E$7),"131",""))</f>
        <v/>
      </c>
      <c r="O2511" s="857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>x</v>
      </c>
      <c r="AB2511" s="790"/>
    </row>
    <row r="2512" spans="1:30" s="211" customFormat="1" ht="15.75" customHeight="1">
      <c r="A2512" s="204" t="str">
        <f>IF(B2512&lt;&gt;"",IF(AND(B2512&gt;=_TM1,B2512&lt;=_TM2,OR(TH!L2522="1111",TH!M2522="1111")),TH!D2522,""),"")</f>
        <v/>
      </c>
      <c r="B2512" s="36">
        <f t="shared" si="133"/>
        <v>7</v>
      </c>
      <c r="C2512" s="184">
        <f t="shared" si="134"/>
        <v>42557</v>
      </c>
      <c r="D2512" s="184" t="s">
        <v>1579</v>
      </c>
      <c r="E2512" s="191">
        <v>42557</v>
      </c>
      <c r="F2512" s="189" t="s">
        <v>1287</v>
      </c>
      <c r="G2512" s="456" t="s">
        <v>647</v>
      </c>
      <c r="H2512" s="7" t="s">
        <v>1581</v>
      </c>
      <c r="I2512" s="256">
        <v>630</v>
      </c>
      <c r="J2512" s="256">
        <v>11182.051371172362</v>
      </c>
      <c r="K2512" s="38">
        <f t="shared" si="131"/>
        <v>7044692</v>
      </c>
      <c r="L2512" s="566" t="s">
        <v>167</v>
      </c>
      <c r="M2512" s="566" t="s">
        <v>165</v>
      </c>
      <c r="N2512" s="52" t="str">
        <f>IF(AND('331-CT'!$E$7=TH!H2512,OR(L2512="331",M2512="331")),"331",IF(AND(OR(L2512="131",M2512="131"),H2512='131-CT'!$E$7),"131",""))</f>
        <v/>
      </c>
      <c r="O2512" s="857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>x</v>
      </c>
      <c r="AB2512" s="790"/>
    </row>
    <row r="2513" spans="1:30" s="211" customFormat="1" ht="15.75" customHeight="1">
      <c r="A2513" s="204" t="str">
        <f>IF(B2513&lt;&gt;"",IF(AND(B2513&gt;=_TM1,B2513&lt;=_TM2,OR(TH!L2543="1111",TH!M2543="1111")),TH!D2543,""),"")</f>
        <v/>
      </c>
      <c r="B2513" s="36">
        <f t="shared" si="133"/>
        <v>7</v>
      </c>
      <c r="C2513" s="184">
        <f t="shared" si="134"/>
        <v>42557</v>
      </c>
      <c r="D2513" s="184" t="s">
        <v>1579</v>
      </c>
      <c r="E2513" s="726">
        <v>42557</v>
      </c>
      <c r="F2513" s="189" t="s">
        <v>624</v>
      </c>
      <c r="G2513" s="456" t="s">
        <v>647</v>
      </c>
      <c r="H2513" s="7" t="s">
        <v>1581</v>
      </c>
      <c r="I2513" s="256">
        <v>320</v>
      </c>
      <c r="J2513" s="256">
        <v>11059.171685774863</v>
      </c>
      <c r="K2513" s="38">
        <f t="shared" si="131"/>
        <v>3538935</v>
      </c>
      <c r="L2513" s="566" t="s">
        <v>167</v>
      </c>
      <c r="M2513" s="566" t="s">
        <v>165</v>
      </c>
      <c r="N2513" s="52" t="str">
        <f>IF(AND('331-CT'!$E$7=TH!H2513,OR(L2513="331",M2513="331")),"331",IF(AND(OR(L2513="131",M2513="131"),H2513='131-CT'!$E$7),"131",""))</f>
        <v/>
      </c>
      <c r="O2513" s="857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>x</v>
      </c>
      <c r="AB2513" s="790"/>
    </row>
    <row r="2514" spans="1:30" s="211" customFormat="1" ht="15.75" customHeight="1">
      <c r="A2514" s="204" t="str">
        <f>IF(B2514&lt;&gt;"",IF(AND(B2514&gt;=_TM1,B2514&lt;=_TM2,OR(TH!L2544="1111",TH!M2544="1111")),TH!D2544,""),"")</f>
        <v/>
      </c>
      <c r="B2514" s="36">
        <f t="shared" si="133"/>
        <v>7</v>
      </c>
      <c r="C2514" s="184">
        <f t="shared" si="134"/>
        <v>42557</v>
      </c>
      <c r="D2514" s="184" t="s">
        <v>1579</v>
      </c>
      <c r="E2514" s="726">
        <v>42557</v>
      </c>
      <c r="F2514" s="189" t="s">
        <v>1288</v>
      </c>
      <c r="G2514" s="456" t="s">
        <v>648</v>
      </c>
      <c r="H2514" s="7" t="s">
        <v>1581</v>
      </c>
      <c r="I2514" s="256">
        <v>230</v>
      </c>
      <c r="J2514" s="256">
        <v>9093.096719414887</v>
      </c>
      <c r="K2514" s="38">
        <f t="shared" si="131"/>
        <v>2091412</v>
      </c>
      <c r="L2514" s="566" t="s">
        <v>167</v>
      </c>
      <c r="M2514" s="566" t="s">
        <v>165</v>
      </c>
      <c r="N2514" s="52" t="str">
        <f>IF(AND('331-CT'!$E$7=TH!H2514,OR(L2514="331",M2514="331")),"331",IF(AND(OR(L2514="131",M2514="131"),H2514='131-CT'!$E$7),"131",""))</f>
        <v/>
      </c>
      <c r="O2514" s="857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>x</v>
      </c>
      <c r="AB2514" s="790"/>
    </row>
    <row r="2515" spans="1:30" s="211" customFormat="1" ht="15.75" customHeight="1">
      <c r="A2515" s="204" t="str">
        <f>IF(B2515&lt;&gt;"",IF(AND(B2515&gt;=_TM1,B2515&lt;=_TM2,OR(TH!L2523="1111",TH!M2523="1111")),TH!D2523,""),"")</f>
        <v/>
      </c>
      <c r="B2515" s="36">
        <f t="shared" si="133"/>
        <v>7</v>
      </c>
      <c r="C2515" s="184">
        <f t="shared" si="134"/>
        <v>42558</v>
      </c>
      <c r="D2515" s="184" t="s">
        <v>1579</v>
      </c>
      <c r="E2515" s="726">
        <v>42558</v>
      </c>
      <c r="F2515" s="189" t="s">
        <v>1289</v>
      </c>
      <c r="G2515" s="456" t="s">
        <v>649</v>
      </c>
      <c r="H2515" s="7" t="s">
        <v>1581</v>
      </c>
      <c r="I2515" s="256">
        <v>1545</v>
      </c>
      <c r="J2515" s="256">
        <v>8355.8186070298962</v>
      </c>
      <c r="K2515" s="38">
        <f t="shared" ref="K2515:K2578" si="135">ROUND(I2515*J2515,0)</f>
        <v>12909740</v>
      </c>
      <c r="L2515" s="566" t="s">
        <v>167</v>
      </c>
      <c r="M2515" s="566" t="s">
        <v>165</v>
      </c>
      <c r="N2515" s="52" t="str">
        <f>IF(AND('331-CT'!$E$7=TH!H2515,OR(L2515="331",M2515="331")),"331",IF(AND(OR(L2515="131",M2515="131"),H2515='131-CT'!$E$7),"131",""))</f>
        <v/>
      </c>
      <c r="O2515" s="857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>x</v>
      </c>
      <c r="AB2515" s="790"/>
      <c r="AC2515" s="557"/>
      <c r="AD2515" s="557"/>
    </row>
    <row r="2516" spans="1:30" s="211" customFormat="1" ht="15.75" customHeight="1">
      <c r="A2516" s="204" t="str">
        <f>IF(B2516&lt;&gt;"",IF(AND(B2516&gt;=_TM1,B2516&lt;=_TM2,OR(TH!L2524="1111",TH!M2524="1111")),TH!D2524,""),"")</f>
        <v/>
      </c>
      <c r="B2516" s="36">
        <f t="shared" si="133"/>
        <v>7</v>
      </c>
      <c r="C2516" s="184">
        <f t="shared" si="134"/>
        <v>42558</v>
      </c>
      <c r="D2516" s="184" t="s">
        <v>1579</v>
      </c>
      <c r="E2516" s="726">
        <v>42558</v>
      </c>
      <c r="F2516" s="189" t="s">
        <v>1289</v>
      </c>
      <c r="G2516" s="456" t="s">
        <v>649</v>
      </c>
      <c r="H2516" s="7" t="s">
        <v>1581</v>
      </c>
      <c r="I2516" s="256">
        <v>559</v>
      </c>
      <c r="J2516" s="256">
        <v>8355.8186070298962</v>
      </c>
      <c r="K2516" s="38">
        <f t="shared" si="135"/>
        <v>4670903</v>
      </c>
      <c r="L2516" s="566" t="s">
        <v>167</v>
      </c>
      <c r="M2516" s="566" t="s">
        <v>165</v>
      </c>
      <c r="N2516" s="52" t="str">
        <f>IF(AND('331-CT'!$E$7=TH!H2516,OR(L2516="331",M2516="331")),"331",IF(AND(OR(L2516="131",M2516="131"),H2516='131-CT'!$E$7),"131",""))</f>
        <v/>
      </c>
      <c r="O2516" s="857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>x</v>
      </c>
      <c r="AB2516" s="790"/>
      <c r="AC2516" s="557"/>
    </row>
    <row r="2517" spans="1:30" s="211" customFormat="1" ht="15.75" customHeight="1">
      <c r="A2517" s="204" t="str">
        <f>IF(B2517&lt;&gt;"",IF(AND(B2517&gt;=_TM1,B2517&lt;=_TM2,OR(TH!L2525="1111",TH!M2525="1111")),TH!D2525,""),"")</f>
        <v/>
      </c>
      <c r="B2517" s="36">
        <f t="shared" si="133"/>
        <v>7</v>
      </c>
      <c r="C2517" s="184">
        <f t="shared" si="134"/>
        <v>42559</v>
      </c>
      <c r="D2517" s="184" t="s">
        <v>1579</v>
      </c>
      <c r="E2517" s="726">
        <v>42559</v>
      </c>
      <c r="F2517" s="189" t="s">
        <v>1019</v>
      </c>
      <c r="G2517" s="456" t="s">
        <v>650</v>
      </c>
      <c r="H2517" s="7" t="s">
        <v>1581</v>
      </c>
      <c r="I2517" s="256">
        <v>548</v>
      </c>
      <c r="J2517" s="256">
        <v>10567.652944184869</v>
      </c>
      <c r="K2517" s="38">
        <f t="shared" si="135"/>
        <v>5791074</v>
      </c>
      <c r="L2517" s="566" t="s">
        <v>167</v>
      </c>
      <c r="M2517" s="566" t="s">
        <v>165</v>
      </c>
      <c r="N2517" s="52" t="str">
        <f>IF(AND('331-CT'!$E$7=TH!H2517,OR(L2517="331",M2517="331")),"331",IF(AND(OR(L2517="131",M2517="131"),H2517='131-CT'!$E$7),"131",""))</f>
        <v/>
      </c>
      <c r="O2517" s="857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>x</v>
      </c>
      <c r="AB2517" s="790"/>
      <c r="AC2517" s="557"/>
    </row>
    <row r="2518" spans="1:30" s="211" customFormat="1" ht="15.75" customHeight="1">
      <c r="A2518" s="204" t="str">
        <f>IF(B2518&lt;&gt;"",IF(AND(B2518&gt;=_TM1,B2518&lt;=_TM2,OR(TH!L2503="1111",TH!M2503="1111")),TH!D2503,""),"")</f>
        <v/>
      </c>
      <c r="B2518" s="36">
        <f t="shared" si="133"/>
        <v>7</v>
      </c>
      <c r="C2518" s="184">
        <f t="shared" si="134"/>
        <v>42563</v>
      </c>
      <c r="D2518" s="184" t="s">
        <v>1579</v>
      </c>
      <c r="E2518" s="191">
        <v>42563</v>
      </c>
      <c r="F2518" s="189" t="s">
        <v>1101</v>
      </c>
      <c r="G2518" s="456" t="s">
        <v>651</v>
      </c>
      <c r="H2518" s="7" t="s">
        <v>1581</v>
      </c>
      <c r="I2518" s="256">
        <v>220</v>
      </c>
      <c r="J2518" s="256">
        <v>33546.154113517085</v>
      </c>
      <c r="K2518" s="38">
        <f t="shared" si="135"/>
        <v>7380154</v>
      </c>
      <c r="L2518" s="566" t="s">
        <v>167</v>
      </c>
      <c r="M2518" s="566" t="s">
        <v>165</v>
      </c>
      <c r="N2518" s="52" t="str">
        <f>IF(AND('331-CT'!$E$7=TH!H2518,OR(L2518="331",M2518="331")),"331",IF(AND(OR(L2518="131",M2518="131"),H2518='131-CT'!$E$7),"131",""))</f>
        <v/>
      </c>
      <c r="O2518" s="857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>x</v>
      </c>
      <c r="AB2518" s="790"/>
    </row>
    <row r="2519" spans="1:30" s="211" customFormat="1" ht="15.75" customHeight="1">
      <c r="A2519" s="204" t="str">
        <f>IF(B2519&lt;&gt;"",IF(AND(B2519&gt;=_TM1,B2519&lt;=_TM2,OR(TH!L2504="1111",TH!M2504="1111")),TH!D2504,""),"")</f>
        <v/>
      </c>
      <c r="B2519" s="36">
        <f t="shared" si="133"/>
        <v>7</v>
      </c>
      <c r="C2519" s="184">
        <f t="shared" si="134"/>
        <v>42563</v>
      </c>
      <c r="D2519" s="184" t="s">
        <v>1579</v>
      </c>
      <c r="E2519" s="191">
        <v>42563</v>
      </c>
      <c r="F2519" s="192" t="s">
        <v>948</v>
      </c>
      <c r="G2519" s="453" t="s">
        <v>651</v>
      </c>
      <c r="H2519" s="7" t="s">
        <v>1581</v>
      </c>
      <c r="I2519" s="257">
        <v>250</v>
      </c>
      <c r="J2519" s="256">
        <v>16465.877843264796</v>
      </c>
      <c r="K2519" s="38">
        <f t="shared" si="135"/>
        <v>4116469</v>
      </c>
      <c r="L2519" s="566" t="s">
        <v>167</v>
      </c>
      <c r="M2519" s="566" t="s">
        <v>165</v>
      </c>
      <c r="N2519" s="52" t="str">
        <f>IF(AND('331-CT'!$E$7=TH!H2519,OR(L2519="331",M2519="331")),"331",IF(AND(OR(L2519="131",M2519="131"),H2519='131-CT'!$E$7),"131",""))</f>
        <v/>
      </c>
      <c r="O2519" s="857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>x</v>
      </c>
      <c r="AB2519" s="790"/>
    </row>
    <row r="2520" spans="1:30" s="211" customFormat="1" ht="15.75" customHeight="1">
      <c r="A2520" s="204" t="str">
        <f>IF(B2520&lt;&gt;"",IF(AND(B2520&gt;=_TM1,B2520&lt;=_TM2,OR(TH!L2505="1111",TH!M2505="1111")),TH!D2505,""),"")</f>
        <v/>
      </c>
      <c r="B2520" s="36">
        <f t="shared" si="133"/>
        <v>7</v>
      </c>
      <c r="C2520" s="184">
        <f t="shared" si="134"/>
        <v>42563</v>
      </c>
      <c r="D2520" s="184" t="s">
        <v>1579</v>
      </c>
      <c r="E2520" s="191">
        <v>42563</v>
      </c>
      <c r="F2520" s="192" t="s">
        <v>1102</v>
      </c>
      <c r="G2520" s="453" t="s">
        <v>651</v>
      </c>
      <c r="H2520" s="7" t="s">
        <v>1581</v>
      </c>
      <c r="I2520" s="257">
        <v>45</v>
      </c>
      <c r="J2520" s="256">
        <v>10567.652944184869</v>
      </c>
      <c r="K2520" s="38">
        <f t="shared" si="135"/>
        <v>475544</v>
      </c>
      <c r="L2520" s="566" t="s">
        <v>167</v>
      </c>
      <c r="M2520" s="566" t="s">
        <v>165</v>
      </c>
      <c r="N2520" s="52" t="str">
        <f>IF(AND('331-CT'!$E$7=TH!H2520,OR(L2520="331",M2520="331")),"331",IF(AND(OR(L2520="131",M2520="131"),H2520='131-CT'!$E$7),"131",""))</f>
        <v/>
      </c>
      <c r="O2520" s="857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>x</v>
      </c>
      <c r="AB2520" s="790"/>
    </row>
    <row r="2521" spans="1:30" s="211" customFormat="1" ht="15.75" customHeight="1">
      <c r="A2521" s="204" t="str">
        <f>IF(B2521&lt;&gt;"",IF(AND(B2521&gt;=_TM1,B2521&lt;=_TM2,OR(TH!L2511="1111",TH!M2511="1111")),TH!D2511,""),"")</f>
        <v/>
      </c>
      <c r="B2521" s="36">
        <f t="shared" si="133"/>
        <v>7</v>
      </c>
      <c r="C2521" s="184">
        <f t="shared" si="134"/>
        <v>42563</v>
      </c>
      <c r="D2521" s="184" t="s">
        <v>1579</v>
      </c>
      <c r="E2521" s="191">
        <v>42563</v>
      </c>
      <c r="F2521" s="189" t="s">
        <v>504</v>
      </c>
      <c r="G2521" s="456" t="s">
        <v>651</v>
      </c>
      <c r="H2521" s="7" t="s">
        <v>1581</v>
      </c>
      <c r="I2521" s="256">
        <v>582</v>
      </c>
      <c r="J2521" s="256">
        <v>15728.599730879805</v>
      </c>
      <c r="K2521" s="38">
        <f t="shared" si="135"/>
        <v>9154045</v>
      </c>
      <c r="L2521" s="566" t="s">
        <v>167</v>
      </c>
      <c r="M2521" s="566" t="s">
        <v>165</v>
      </c>
      <c r="N2521" s="52" t="str">
        <f>IF(AND('331-CT'!$E$7=TH!H2521,OR(L2521="331",M2521="331")),"331",IF(AND(OR(L2521="131",M2521="131"),H2521='131-CT'!$E$7),"131",""))</f>
        <v/>
      </c>
      <c r="O2521" s="857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>x</v>
      </c>
      <c r="AB2521" s="790"/>
    </row>
    <row r="2522" spans="1:30" s="211" customFormat="1" ht="15.75" customHeight="1">
      <c r="A2522" s="204" t="str">
        <f>IF(B2522&lt;&gt;"",IF(AND(B2522&gt;=_TM1,B2522&lt;=_TM2,OR(TH!L2512="1111",TH!M2512="1111")),TH!D2512,""),"")</f>
        <v/>
      </c>
      <c r="B2522" s="36">
        <f t="shared" si="133"/>
        <v>7</v>
      </c>
      <c r="C2522" s="184">
        <f t="shared" si="134"/>
        <v>42563</v>
      </c>
      <c r="D2522" s="184" t="s">
        <v>1579</v>
      </c>
      <c r="E2522" s="191">
        <v>42563</v>
      </c>
      <c r="F2522" s="189" t="s">
        <v>1103</v>
      </c>
      <c r="G2522" s="456" t="s">
        <v>651</v>
      </c>
      <c r="H2522" s="7" t="s">
        <v>1581</v>
      </c>
      <c r="I2522" s="256">
        <v>55</v>
      </c>
      <c r="J2522" s="256">
        <v>14499.802876904818</v>
      </c>
      <c r="K2522" s="38">
        <f t="shared" si="135"/>
        <v>797489</v>
      </c>
      <c r="L2522" s="566" t="s">
        <v>167</v>
      </c>
      <c r="M2522" s="566" t="s">
        <v>165</v>
      </c>
      <c r="N2522" s="52" t="str">
        <f>IF(AND('331-CT'!$E$7=TH!H2522,OR(L2522="331",M2522="331")),"331",IF(AND(OR(L2522="131",M2522="131"),H2522='131-CT'!$E$7),"131",""))</f>
        <v/>
      </c>
      <c r="O2522" s="857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>x</v>
      </c>
      <c r="AB2522" s="790"/>
    </row>
    <row r="2523" spans="1:30" s="211" customFormat="1" ht="15.75" customHeight="1">
      <c r="A2523" s="204" t="str">
        <f>IF(B2523&lt;&gt;"",IF(AND(B2523&gt;=_TM1,B2523&lt;=_TM2,OR(TH!L2526="1111",TH!M2526="1111")),TH!D2526,""),"")</f>
        <v/>
      </c>
      <c r="B2523" s="36">
        <f t="shared" si="133"/>
        <v>7</v>
      </c>
      <c r="C2523" s="184">
        <f t="shared" si="134"/>
        <v>42563</v>
      </c>
      <c r="D2523" s="184" t="s">
        <v>1579</v>
      </c>
      <c r="E2523" s="726">
        <v>42563</v>
      </c>
      <c r="F2523" s="40" t="s">
        <v>1099</v>
      </c>
      <c r="G2523" s="455" t="s">
        <v>652</v>
      </c>
      <c r="H2523" s="7" t="s">
        <v>1581</v>
      </c>
      <c r="I2523" s="703">
        <v>19</v>
      </c>
      <c r="J2523" s="703">
        <v>103956.21384628372</v>
      </c>
      <c r="K2523" s="38">
        <f t="shared" si="135"/>
        <v>1975168</v>
      </c>
      <c r="L2523" s="566" t="s">
        <v>167</v>
      </c>
      <c r="M2523" s="566" t="s">
        <v>165</v>
      </c>
      <c r="N2523" s="52" t="str">
        <f>IF(AND('331-CT'!$E$7=TH!H2523,OR(L2523="331",M2523="331")),"331",IF(AND(OR(L2523="131",M2523="131"),H2523='131-CT'!$E$7),"131",""))</f>
        <v/>
      </c>
      <c r="O2523" s="857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>x</v>
      </c>
      <c r="AB2523" s="790"/>
    </row>
    <row r="2524" spans="1:30" s="211" customFormat="1" ht="15.75" customHeight="1">
      <c r="A2524" s="204" t="str">
        <f>IF(B2524&lt;&gt;"",IF(AND(B2524&gt;=_TM1,B2524&lt;=_TM2,OR(TH!L2527="1111",TH!M2527="1111")),TH!D2527,""),"")</f>
        <v/>
      </c>
      <c r="B2524" s="36">
        <f t="shared" si="133"/>
        <v>7</v>
      </c>
      <c r="C2524" s="184">
        <f t="shared" si="134"/>
        <v>42563</v>
      </c>
      <c r="D2524" s="184" t="s">
        <v>1579</v>
      </c>
      <c r="E2524" s="726">
        <v>42563</v>
      </c>
      <c r="F2524" s="40" t="s">
        <v>448</v>
      </c>
      <c r="G2524" s="455" t="s">
        <v>652</v>
      </c>
      <c r="H2524" s="7" t="s">
        <v>1581</v>
      </c>
      <c r="I2524" s="256">
        <v>60</v>
      </c>
      <c r="J2524" s="256">
        <v>89087.771913186385</v>
      </c>
      <c r="K2524" s="38">
        <f t="shared" si="135"/>
        <v>5345266</v>
      </c>
      <c r="L2524" s="566" t="s">
        <v>167</v>
      </c>
      <c r="M2524" s="566" t="s">
        <v>165</v>
      </c>
      <c r="N2524" s="52" t="str">
        <f>IF(AND('331-CT'!$E$7=TH!H2524,OR(L2524="331",M2524="331")),"331",IF(AND(OR(L2524="131",M2524="131"),H2524='131-CT'!$E$7),"131",""))</f>
        <v/>
      </c>
      <c r="O2524" s="857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790"/>
    </row>
    <row r="2525" spans="1:30" s="211" customFormat="1" ht="15.75" customHeight="1">
      <c r="A2525" s="204" t="str">
        <f>IF(B2525&lt;&gt;"",IF(AND(B2525&gt;=_TM1,B2525&lt;=_TM2,OR(TH!L2528="1111",TH!M2528="1111")),TH!D2528,""),"")</f>
        <v/>
      </c>
      <c r="B2525" s="36">
        <f t="shared" si="133"/>
        <v>8</v>
      </c>
      <c r="C2525" s="184">
        <f t="shared" si="134"/>
        <v>42604</v>
      </c>
      <c r="D2525" s="184" t="s">
        <v>1579</v>
      </c>
      <c r="E2525" s="726">
        <v>42604</v>
      </c>
      <c r="F2525" s="192" t="s">
        <v>459</v>
      </c>
      <c r="G2525" s="456" t="s">
        <v>1290</v>
      </c>
      <c r="H2525" s="7" t="s">
        <v>1581</v>
      </c>
      <c r="I2525" s="256">
        <v>489</v>
      </c>
      <c r="J2525" s="256">
        <v>14868.441933097314</v>
      </c>
      <c r="K2525" s="38">
        <f t="shared" si="135"/>
        <v>7270668</v>
      </c>
      <c r="L2525" s="566" t="s">
        <v>167</v>
      </c>
      <c r="M2525" s="566" t="s">
        <v>165</v>
      </c>
      <c r="N2525" s="52" t="str">
        <f>IF(AND('331-CT'!$E$7=TH!H2525,OR(L2525="331",M2525="331")),"331",IF(AND(OR(L2525="131",M2525="131"),H2525='131-CT'!$E$7),"131",""))</f>
        <v/>
      </c>
      <c r="O2525" s="857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790"/>
    </row>
    <row r="2526" spans="1:30" s="211" customFormat="1" ht="15.75" customHeight="1">
      <c r="A2526" s="204" t="str">
        <f>IF(B2526&lt;&gt;"",IF(AND(B2526&gt;=_TM1,B2526&lt;=_TM2,OR(TH!L2529="1111",TH!M2529="1111")),TH!D2529,""),"")</f>
        <v/>
      </c>
      <c r="B2526" s="36">
        <f t="shared" si="133"/>
        <v>8</v>
      </c>
      <c r="C2526" s="184">
        <f t="shared" si="134"/>
        <v>42605</v>
      </c>
      <c r="D2526" s="184" t="s">
        <v>1579</v>
      </c>
      <c r="E2526" s="726">
        <v>42605</v>
      </c>
      <c r="F2526" s="192" t="s">
        <v>1293</v>
      </c>
      <c r="G2526" s="456" t="s">
        <v>1291</v>
      </c>
      <c r="H2526" s="7" t="s">
        <v>1581</v>
      </c>
      <c r="I2526" s="256">
        <v>1714</v>
      </c>
      <c r="J2526" s="256">
        <v>2457.5937079499695</v>
      </c>
      <c r="K2526" s="38">
        <f t="shared" si="135"/>
        <v>4212316</v>
      </c>
      <c r="L2526" s="566" t="s">
        <v>167</v>
      </c>
      <c r="M2526" s="566" t="s">
        <v>165</v>
      </c>
      <c r="N2526" s="52" t="str">
        <f>IF(AND('331-CT'!$E$7=TH!H2526,OR(L2526="331",M2526="331")),"331",IF(AND(OR(L2526="131",M2526="131"),H2526='131-CT'!$E$7),"131",""))</f>
        <v/>
      </c>
      <c r="O2526" s="857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790"/>
    </row>
    <row r="2527" spans="1:30" s="211" customFormat="1" ht="15.75" customHeight="1">
      <c r="A2527" s="204" t="str">
        <f>IF(B2527&lt;&gt;"",IF(AND(B2527&gt;=_TM1,B2527&lt;=_TM2,OR(TH!L2537="1111",TH!M2537="1111")),TH!D2537,""),"")</f>
        <v/>
      </c>
      <c r="B2527" s="36">
        <f t="shared" si="133"/>
        <v>8</v>
      </c>
      <c r="C2527" s="184">
        <f t="shared" si="134"/>
        <v>42605</v>
      </c>
      <c r="D2527" s="184" t="s">
        <v>1579</v>
      </c>
      <c r="E2527" s="726">
        <v>42605</v>
      </c>
      <c r="F2527" s="189" t="s">
        <v>1294</v>
      </c>
      <c r="G2527" s="456" t="s">
        <v>1291</v>
      </c>
      <c r="H2527" s="7" t="s">
        <v>1581</v>
      </c>
      <c r="I2527" s="256">
        <v>218</v>
      </c>
      <c r="J2527" s="256">
        <v>7864.2998654399025</v>
      </c>
      <c r="K2527" s="38">
        <f t="shared" si="135"/>
        <v>1714417</v>
      </c>
      <c r="L2527" s="566" t="s">
        <v>167</v>
      </c>
      <c r="M2527" s="566" t="s">
        <v>165</v>
      </c>
      <c r="N2527" s="52" t="str">
        <f>IF(AND('331-CT'!$E$7=TH!H2527,OR(L2527="331",M2527="331")),"331",IF(AND(OR(L2527="131",M2527="131"),H2527='131-CT'!$E$7),"131",""))</f>
        <v/>
      </c>
      <c r="O2527" s="857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790"/>
    </row>
    <row r="2528" spans="1:30" s="211" customFormat="1" ht="15.75" customHeight="1">
      <c r="A2528" s="204" t="str">
        <f>IF(B2528&lt;&gt;"",IF(AND(B2528&gt;=_TM1,B2528&lt;=_TM2,OR(TH!L2538="1111",TH!M2538="1111")),TH!D2538,""),"")</f>
        <v/>
      </c>
      <c r="B2528" s="36">
        <f t="shared" si="133"/>
        <v>8</v>
      </c>
      <c r="C2528" s="184">
        <f t="shared" si="134"/>
        <v>42612</v>
      </c>
      <c r="D2528" s="184" t="s">
        <v>1579</v>
      </c>
      <c r="E2528" s="726">
        <v>42612</v>
      </c>
      <c r="F2528" s="189" t="s">
        <v>1286</v>
      </c>
      <c r="G2528" s="456" t="s">
        <v>1295</v>
      </c>
      <c r="H2528" s="7" t="s">
        <v>1581</v>
      </c>
      <c r="I2528" s="256">
        <v>819</v>
      </c>
      <c r="J2528" s="256">
        <v>10076.134202594874</v>
      </c>
      <c r="K2528" s="38">
        <f t="shared" si="135"/>
        <v>8252354</v>
      </c>
      <c r="L2528" s="566" t="s">
        <v>167</v>
      </c>
      <c r="M2528" s="566" t="s">
        <v>165</v>
      </c>
      <c r="N2528" s="52" t="str">
        <f>IF(AND('331-CT'!$E$7=TH!H2528,OR(L2528="331",M2528="331")),"331",IF(AND(OR(L2528="131",M2528="131"),H2528='131-CT'!$E$7),"131",""))</f>
        <v/>
      </c>
      <c r="O2528" s="857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790"/>
    </row>
    <row r="2529" spans="1:30" s="211" customFormat="1" ht="15.75" customHeight="1">
      <c r="A2529" s="204" t="str">
        <f>IF(B2529&lt;&gt;"",IF(AND(B2529&gt;=_TM1,B2529&lt;=_TM2,OR(TH!L2513="1111",TH!M2513="1111")),TH!D2513,""),"")</f>
        <v/>
      </c>
      <c r="B2529" s="36">
        <f t="shared" si="133"/>
        <v>8</v>
      </c>
      <c r="C2529" s="184">
        <f t="shared" si="134"/>
        <v>42612</v>
      </c>
      <c r="D2529" s="184" t="s">
        <v>1579</v>
      </c>
      <c r="E2529" s="191">
        <v>42612</v>
      </c>
      <c r="F2529" s="189" t="s">
        <v>1287</v>
      </c>
      <c r="G2529" s="456" t="s">
        <v>1295</v>
      </c>
      <c r="H2529" s="7" t="s">
        <v>1581</v>
      </c>
      <c r="I2529" s="256">
        <v>610</v>
      </c>
      <c r="J2529" s="256">
        <v>11182.051371172362</v>
      </c>
      <c r="K2529" s="38">
        <f t="shared" si="135"/>
        <v>6821051</v>
      </c>
      <c r="L2529" s="566" t="s">
        <v>167</v>
      </c>
      <c r="M2529" s="566" t="s">
        <v>165</v>
      </c>
      <c r="N2529" s="52" t="str">
        <f>IF(AND('331-CT'!$E$7=TH!H2529,OR(L2529="331",M2529="331")),"331",IF(AND(OR(L2529="131",M2529="131"),H2529='131-CT'!$E$7),"131",""))</f>
        <v/>
      </c>
      <c r="O2529" s="857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790"/>
    </row>
    <row r="2530" spans="1:30" s="211" customFormat="1" ht="15.75" customHeight="1">
      <c r="A2530" s="204" t="str">
        <f>IF(B2530&lt;&gt;"",IF(AND(B2530&gt;=_TM1,B2530&lt;=_TM2,OR(TH!L2514="1111",TH!M2514="1111")),TH!D2514,""),"")</f>
        <v/>
      </c>
      <c r="B2530" s="36">
        <f t="shared" si="133"/>
        <v>8</v>
      </c>
      <c r="C2530" s="184">
        <f t="shared" si="134"/>
        <v>42612</v>
      </c>
      <c r="D2530" s="184" t="s">
        <v>1579</v>
      </c>
      <c r="E2530" s="191">
        <v>42612</v>
      </c>
      <c r="F2530" s="189" t="s">
        <v>471</v>
      </c>
      <c r="G2530" s="456" t="s">
        <v>1295</v>
      </c>
      <c r="H2530" s="7" t="s">
        <v>1581</v>
      </c>
      <c r="I2530" s="703">
        <v>599</v>
      </c>
      <c r="J2530" s="703">
        <v>19414.99029280476</v>
      </c>
      <c r="K2530" s="38">
        <f t="shared" si="135"/>
        <v>11629579</v>
      </c>
      <c r="L2530" s="566" t="s">
        <v>167</v>
      </c>
      <c r="M2530" s="566" t="s">
        <v>165</v>
      </c>
      <c r="N2530" s="52" t="str">
        <f>IF(AND('331-CT'!$E$7=TH!H2530,OR(L2530="331",M2530="331")),"331",IF(AND(OR(L2530="131",M2530="131"),H2530='131-CT'!$E$7),"131",""))</f>
        <v/>
      </c>
      <c r="O2530" s="857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790"/>
    </row>
    <row r="2531" spans="1:30" s="211" customFormat="1" ht="15.75" customHeight="1">
      <c r="A2531" s="204" t="str">
        <f>IF(B2531&lt;&gt;"",IF(AND(B2531&gt;=_TM1,B2531&lt;=_TM2,OR(TH!L2530="1111",TH!M2530="1111")),TH!D2530,""),"")</f>
        <v/>
      </c>
      <c r="B2531" s="36">
        <f t="shared" si="133"/>
        <v>8</v>
      </c>
      <c r="C2531" s="184">
        <f t="shared" si="134"/>
        <v>42612</v>
      </c>
      <c r="D2531" s="184" t="s">
        <v>1579</v>
      </c>
      <c r="E2531" s="726">
        <v>42612</v>
      </c>
      <c r="F2531" s="189" t="s">
        <v>484</v>
      </c>
      <c r="G2531" s="456" t="s">
        <v>1295</v>
      </c>
      <c r="H2531" s="7" t="s">
        <v>1581</v>
      </c>
      <c r="I2531" s="256">
        <v>305</v>
      </c>
      <c r="J2531" s="256">
        <v>23592.899596319705</v>
      </c>
      <c r="K2531" s="38">
        <f t="shared" si="135"/>
        <v>7195834</v>
      </c>
      <c r="L2531" s="566" t="s">
        <v>167</v>
      </c>
      <c r="M2531" s="566" t="s">
        <v>165</v>
      </c>
      <c r="N2531" s="52" t="str">
        <f>IF(AND('331-CT'!$E$7=TH!H2531,OR(L2531="331",M2531="331")),"331",IF(AND(OR(L2531="131",M2531="131"),H2531='131-CT'!$E$7),"131",""))</f>
        <v/>
      </c>
      <c r="O2531" s="857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790"/>
      <c r="AC2531" s="557"/>
      <c r="AD2531" s="557"/>
    </row>
    <row r="2532" spans="1:30" s="211" customFormat="1" ht="15.75" customHeight="1">
      <c r="A2532" s="204" t="str">
        <f>IF(B2532&lt;&gt;"",IF(AND(B2532&gt;=_TM1,B2532&lt;=_TM2,OR(TH!L2531="1111",TH!M2531="1111")),TH!D2531,""),"")</f>
        <v/>
      </c>
      <c r="B2532" s="36">
        <f t="shared" si="133"/>
        <v>8</v>
      </c>
      <c r="C2532" s="184">
        <f t="shared" si="134"/>
        <v>42612</v>
      </c>
      <c r="D2532" s="184" t="s">
        <v>1579</v>
      </c>
      <c r="E2532" s="726">
        <v>42612</v>
      </c>
      <c r="F2532" s="189" t="s">
        <v>1477</v>
      </c>
      <c r="G2532" s="456" t="s">
        <v>1296</v>
      </c>
      <c r="H2532" s="7" t="s">
        <v>1581</v>
      </c>
      <c r="I2532" s="256">
        <v>100</v>
      </c>
      <c r="J2532" s="256">
        <v>25681.854248077179</v>
      </c>
      <c r="K2532" s="38">
        <f t="shared" si="135"/>
        <v>2568185</v>
      </c>
      <c r="L2532" s="566" t="s">
        <v>167</v>
      </c>
      <c r="M2532" s="566" t="s">
        <v>165</v>
      </c>
      <c r="N2532" s="52" t="str">
        <f>IF(AND('331-CT'!$E$7=TH!H2532,OR(L2532="331",M2532="331")),"331",IF(AND(OR(L2532="131",M2532="131"),H2532='131-CT'!$E$7),"131",""))</f>
        <v/>
      </c>
      <c r="O2532" s="857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790"/>
      <c r="AC2532" s="557"/>
    </row>
    <row r="2533" spans="1:30" s="211" customFormat="1" ht="15.75" customHeight="1">
      <c r="A2533" s="204" t="str">
        <f>IF(B2533&lt;&gt;"",IF(AND(B2533&gt;=_TM1,B2533&lt;=_TM2,OR(TH!L2532="1111",TH!M2532="1111")),TH!D2532,""),"")</f>
        <v/>
      </c>
      <c r="B2533" s="36">
        <f t="shared" si="133"/>
        <v>8</v>
      </c>
      <c r="C2533" s="184">
        <f t="shared" si="134"/>
        <v>42612</v>
      </c>
      <c r="D2533" s="184" t="s">
        <v>1579</v>
      </c>
      <c r="E2533" s="726">
        <v>42612</v>
      </c>
      <c r="F2533" s="189" t="s">
        <v>1477</v>
      </c>
      <c r="G2533" s="456" t="s">
        <v>1296</v>
      </c>
      <c r="H2533" s="7" t="s">
        <v>1581</v>
      </c>
      <c r="I2533" s="256">
        <v>100</v>
      </c>
      <c r="J2533" s="256">
        <v>25681.854248077179</v>
      </c>
      <c r="K2533" s="38">
        <f t="shared" si="135"/>
        <v>2568185</v>
      </c>
      <c r="L2533" s="566" t="s">
        <v>167</v>
      </c>
      <c r="M2533" s="566" t="s">
        <v>165</v>
      </c>
      <c r="N2533" s="52" t="str">
        <f>IF(AND('331-CT'!$E$7=TH!H2533,OR(L2533="331",M2533="331")),"331",IF(AND(OR(L2533="131",M2533="131"),H2533='131-CT'!$E$7),"131",""))</f>
        <v/>
      </c>
      <c r="O2533" s="857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790"/>
      <c r="AC2533" s="557"/>
    </row>
    <row r="2534" spans="1:30" s="211" customFormat="1" ht="15.75" customHeight="1">
      <c r="A2534" s="204" t="str">
        <f>IF(B2534&lt;&gt;"",IF(AND(B2534&gt;=_TM1,B2534&lt;=_TM2,OR(TH!L2533="1111",TH!M2533="1111")),TH!D2533,""),"")</f>
        <v/>
      </c>
      <c r="B2534" s="36">
        <f t="shared" si="133"/>
        <v>9</v>
      </c>
      <c r="C2534" s="184">
        <f t="shared" si="134"/>
        <v>42627</v>
      </c>
      <c r="D2534" s="184" t="s">
        <v>1579</v>
      </c>
      <c r="E2534" s="726">
        <v>42627</v>
      </c>
      <c r="F2534" s="192" t="s">
        <v>640</v>
      </c>
      <c r="G2534" s="456" t="s">
        <v>1297</v>
      </c>
      <c r="H2534" s="7" t="s">
        <v>1581</v>
      </c>
      <c r="I2534" s="256">
        <v>153</v>
      </c>
      <c r="J2534" s="256">
        <v>39567.258697994512</v>
      </c>
      <c r="K2534" s="38">
        <f t="shared" si="135"/>
        <v>6053791</v>
      </c>
      <c r="L2534" s="566" t="s">
        <v>167</v>
      </c>
      <c r="M2534" s="566" t="s">
        <v>165</v>
      </c>
      <c r="N2534" s="52" t="str">
        <f>IF(AND('331-CT'!$E$7=TH!H2534,OR(L2534="331",M2534="331")),"331",IF(AND(OR(L2534="131",M2534="131"),H2534='131-CT'!$E$7),"131",""))</f>
        <v/>
      </c>
      <c r="O2534" s="857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790"/>
      <c r="AC2534" s="557"/>
      <c r="AD2534" s="557"/>
    </row>
    <row r="2535" spans="1:30" s="211" customFormat="1" ht="15.75" customHeight="1">
      <c r="A2535" s="204" t="str">
        <f>IF(B2535&lt;&gt;"",IF(AND(B2535&gt;=_TM1,B2535&lt;=_TM2,OR(TH!L2534="1111",TH!M2534="1111")),TH!D2534,""),"")</f>
        <v/>
      </c>
      <c r="B2535" s="36">
        <f t="shared" si="133"/>
        <v>9</v>
      </c>
      <c r="C2535" s="184">
        <f t="shared" si="134"/>
        <v>42627</v>
      </c>
      <c r="D2535" s="184" t="s">
        <v>1579</v>
      </c>
      <c r="E2535" s="726">
        <v>42627</v>
      </c>
      <c r="F2535" s="192" t="s">
        <v>1003</v>
      </c>
      <c r="G2535" s="456" t="s">
        <v>1298</v>
      </c>
      <c r="H2535" s="7" t="s">
        <v>1581</v>
      </c>
      <c r="I2535" s="256">
        <v>205</v>
      </c>
      <c r="J2535" s="256">
        <v>11182.051371172362</v>
      </c>
      <c r="K2535" s="38">
        <f t="shared" si="135"/>
        <v>2292321</v>
      </c>
      <c r="L2535" s="566" t="s">
        <v>167</v>
      </c>
      <c r="M2535" s="566" t="s">
        <v>165</v>
      </c>
      <c r="N2535" s="52" t="str">
        <f>IF(AND('331-CT'!$E$7=TH!H2535,OR(L2535="331",M2535="331")),"331",IF(AND(OR(L2535="131",M2535="131"),H2535='131-CT'!$E$7),"131",""))</f>
        <v/>
      </c>
      <c r="O2535" s="857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790"/>
      <c r="AC2535" s="557"/>
    </row>
    <row r="2536" spans="1:30" s="211" customFormat="1" ht="15.75" customHeight="1">
      <c r="A2536" s="204" t="str">
        <f>IF(B2536&lt;&gt;"",IF(AND(B2536&gt;=_TM1,B2536&lt;=_TM2,OR(TH!L2597="1111",TH!M2597="1111")),TH!D2597,""),"")</f>
        <v/>
      </c>
      <c r="B2536" s="36">
        <f t="shared" si="133"/>
        <v>9</v>
      </c>
      <c r="C2536" s="184">
        <f t="shared" si="134"/>
        <v>42632</v>
      </c>
      <c r="D2536" s="184" t="s">
        <v>1579</v>
      </c>
      <c r="E2536" s="726">
        <v>42632</v>
      </c>
      <c r="F2536" s="189" t="s">
        <v>1474</v>
      </c>
      <c r="G2536" s="456" t="s">
        <v>1300</v>
      </c>
      <c r="H2536" s="7" t="s">
        <v>1581</v>
      </c>
      <c r="I2536" s="256">
        <v>300</v>
      </c>
      <c r="J2536" s="256">
        <v>11673.570112762354</v>
      </c>
      <c r="K2536" s="38">
        <f t="shared" si="135"/>
        <v>3502071</v>
      </c>
      <c r="L2536" s="566" t="s">
        <v>167</v>
      </c>
      <c r="M2536" s="566" t="s">
        <v>165</v>
      </c>
      <c r="N2536" s="52" t="str">
        <f>IF(AND('331-CT'!$E$7=TH!H2536,OR(L2536="331",M2536="331")),"331",IF(AND(OR(L2536="131",M2536="131"),H2536='131-CT'!$E$7),"131",""))</f>
        <v/>
      </c>
      <c r="O2536" s="857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790"/>
    </row>
    <row r="2537" spans="1:30" s="827" customFormat="1" ht="15.75" customHeight="1">
      <c r="A2537" s="924" t="str">
        <f>IF(B2537&lt;&gt;"",IF(AND(B2537&gt;=_TM1,B2537&lt;=_TM2,OR(TH!L2598="1111",TH!M2598="1111")),TH!D2598,""),"")</f>
        <v/>
      </c>
      <c r="B2537" s="818">
        <f t="shared" si="133"/>
        <v>10</v>
      </c>
      <c r="C2537" s="819">
        <f t="shared" si="134"/>
        <v>42648</v>
      </c>
      <c r="D2537" s="819" t="s">
        <v>1579</v>
      </c>
      <c r="E2537" s="890">
        <v>42648</v>
      </c>
      <c r="F2537" s="828" t="s">
        <v>1465</v>
      </c>
      <c r="G2537" s="822" t="s">
        <v>1576</v>
      </c>
      <c r="H2537" s="823" t="s">
        <v>1581</v>
      </c>
      <c r="I2537" s="944">
        <v>50</v>
      </c>
      <c r="J2537" s="944">
        <v>8605.1998042915038</v>
      </c>
      <c r="K2537" s="868">
        <f t="shared" si="135"/>
        <v>430260</v>
      </c>
      <c r="L2537" s="931" t="s">
        <v>167</v>
      </c>
      <c r="M2537" s="931" t="s">
        <v>165</v>
      </c>
      <c r="N2537" s="52" t="str">
        <f>IF(AND('331-CT'!$E$7=TH!H2537,OR(L2537="331",M2537="331")),"331",IF(AND(OR(L2537="131",M2537="131"),H2537='131-CT'!$E$7),"131",""))</f>
        <v/>
      </c>
      <c r="O2537" s="857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928"/>
    </row>
    <row r="2538" spans="1:30" s="211" customFormat="1" ht="15.75" customHeight="1">
      <c r="A2538" s="204" t="str">
        <f>IF(B2538&lt;&gt;"",IF(AND(B2538&gt;=_TM1,B2538&lt;=_TM2,OR(TH!L2535="1111",TH!M2535="1111")),TH!D2535,""),"")</f>
        <v/>
      </c>
      <c r="B2538" s="36">
        <f t="shared" ref="B2538:B2601" si="136">IF(C2538&lt;&gt;"",MONTH(C2538),"")</f>
        <v>10</v>
      </c>
      <c r="C2538" s="184">
        <f t="shared" si="134"/>
        <v>42649</v>
      </c>
      <c r="D2538" s="184" t="s">
        <v>1579</v>
      </c>
      <c r="E2538" s="726">
        <v>42649</v>
      </c>
      <c r="F2538" s="192" t="s">
        <v>1334</v>
      </c>
      <c r="G2538" s="456" t="s">
        <v>1333</v>
      </c>
      <c r="H2538" s="7" t="s">
        <v>1581</v>
      </c>
      <c r="I2538" s="703">
        <v>1018</v>
      </c>
      <c r="J2538" s="703">
        <v>6074.2586853822377</v>
      </c>
      <c r="K2538" s="38">
        <f t="shared" si="135"/>
        <v>6183595</v>
      </c>
      <c r="L2538" s="566" t="s">
        <v>167</v>
      </c>
      <c r="M2538" s="566" t="s">
        <v>165</v>
      </c>
      <c r="N2538" s="52" t="str">
        <f>IF(AND('331-CT'!$E$7=TH!H2538,OR(L2538="331",M2538="331")),"331",IF(AND(OR(L2538="131",M2538="131"),H2538='131-CT'!$E$7),"131",""))</f>
        <v/>
      </c>
      <c r="O2538" s="857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0"/>
      <c r="AC2538" s="557"/>
      <c r="AD2538" s="557"/>
    </row>
    <row r="2539" spans="1:30" s="211" customFormat="1" ht="15.75" customHeight="1">
      <c r="A2539" s="204" t="str">
        <f>IF(B2539&lt;&gt;"",IF(AND(B2539&gt;=_TM1,B2539&lt;=_TM2,OR(TH!L2536="1111",TH!M2536="1111")),TH!D2536,""),"")</f>
        <v/>
      </c>
      <c r="B2539" s="36">
        <f t="shared" si="136"/>
        <v>10</v>
      </c>
      <c r="C2539" s="184">
        <f t="shared" si="134"/>
        <v>42649</v>
      </c>
      <c r="D2539" s="184" t="s">
        <v>1579</v>
      </c>
      <c r="E2539" s="726">
        <v>42649</v>
      </c>
      <c r="F2539" s="192" t="s">
        <v>1335</v>
      </c>
      <c r="G2539" s="456" t="s">
        <v>1333</v>
      </c>
      <c r="H2539" s="7" t="s">
        <v>1581</v>
      </c>
      <c r="I2539" s="703">
        <v>1020</v>
      </c>
      <c r="J2539" s="703">
        <v>4808.7881259276046</v>
      </c>
      <c r="K2539" s="38">
        <f t="shared" si="135"/>
        <v>4904964</v>
      </c>
      <c r="L2539" s="566" t="s">
        <v>167</v>
      </c>
      <c r="M2539" s="566" t="s">
        <v>165</v>
      </c>
      <c r="N2539" s="52" t="str">
        <f>IF(AND('331-CT'!$E$7=TH!H2539,OR(L2539="331",M2539="331")),"331",IF(AND(OR(L2539="131",M2539="131"),H2539='131-CT'!$E$7),"131",""))</f>
        <v/>
      </c>
      <c r="O2539" s="857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0"/>
      <c r="AC2539" s="557"/>
    </row>
    <row r="2540" spans="1:30" s="211" customFormat="1" ht="15.75" customHeight="1">
      <c r="A2540" s="204" t="str">
        <f>IF(B2540&lt;&gt;"",IF(AND(B2540&gt;=_TM1,B2540&lt;=_TM2,OR(TH!L2515="1111",TH!M2515="1111")),TH!D2515,""),"")</f>
        <v/>
      </c>
      <c r="B2540" s="36">
        <f t="shared" si="136"/>
        <v>10</v>
      </c>
      <c r="C2540" s="184">
        <f t="shared" si="134"/>
        <v>42651</v>
      </c>
      <c r="D2540" s="184" t="s">
        <v>1579</v>
      </c>
      <c r="E2540" s="191">
        <v>42651</v>
      </c>
      <c r="F2540" s="189" t="s">
        <v>1286</v>
      </c>
      <c r="G2540" s="456" t="s">
        <v>1336</v>
      </c>
      <c r="H2540" s="7" t="s">
        <v>1581</v>
      </c>
      <c r="I2540" s="703">
        <v>926</v>
      </c>
      <c r="J2540" s="703">
        <v>6917.9057250186588</v>
      </c>
      <c r="K2540" s="38">
        <f t="shared" si="135"/>
        <v>6405981</v>
      </c>
      <c r="L2540" s="566" t="s">
        <v>167</v>
      </c>
      <c r="M2540" s="566" t="s">
        <v>165</v>
      </c>
      <c r="N2540" s="52" t="str">
        <f>IF(AND('331-CT'!$E$7=TH!H2540,OR(L2540="331",M2540="331")),"331",IF(AND(OR(L2540="131",M2540="131"),H2540='131-CT'!$E$7),"131",""))</f>
        <v/>
      </c>
      <c r="O2540" s="857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0"/>
      <c r="AC2540" s="557"/>
      <c r="AD2540" s="557"/>
    </row>
    <row r="2541" spans="1:30" s="211" customFormat="1" ht="15.75" customHeight="1">
      <c r="A2541" s="204" t="str">
        <f>IF(B2541&lt;&gt;"",IF(AND(B2541&gt;=_TM1,B2541&lt;=_TM2,OR(TH!L2516="1111",TH!M2516="1111")),TH!D2516,""),"")</f>
        <v/>
      </c>
      <c r="B2541" s="36">
        <f t="shared" si="136"/>
        <v>10</v>
      </c>
      <c r="C2541" s="184">
        <f t="shared" si="134"/>
        <v>42651</v>
      </c>
      <c r="D2541" s="184" t="s">
        <v>1579</v>
      </c>
      <c r="E2541" s="191">
        <v>42651</v>
      </c>
      <c r="F2541" s="189" t="s">
        <v>1337</v>
      </c>
      <c r="G2541" s="456" t="s">
        <v>854</v>
      </c>
      <c r="H2541" s="7" t="s">
        <v>1581</v>
      </c>
      <c r="I2541" s="703">
        <v>140</v>
      </c>
      <c r="J2541" s="703">
        <v>10461.223291491631</v>
      </c>
      <c r="K2541" s="38">
        <f t="shared" si="135"/>
        <v>1464571</v>
      </c>
      <c r="L2541" s="566" t="s">
        <v>167</v>
      </c>
      <c r="M2541" s="566" t="s">
        <v>165</v>
      </c>
      <c r="N2541" s="52" t="str">
        <f>IF(AND('331-CT'!$E$7=TH!H2541,OR(L2541="331",M2541="331")),"331",IF(AND(OR(L2541="131",M2541="131"),H2541='131-CT'!$E$7),"131",""))</f>
        <v/>
      </c>
      <c r="O2541" s="857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0"/>
      <c r="AC2541" s="557"/>
      <c r="AD2541" s="557"/>
    </row>
    <row r="2542" spans="1:30" s="211" customFormat="1" ht="15.75" customHeight="1">
      <c r="A2542" s="204" t="str">
        <f>IF(B2542&lt;&gt;"",IF(AND(B2542&gt;=_TM1,B2542&lt;=_TM2,OR(TH!L2517="1111",TH!M2517="1111")),TH!D2517,""),"")</f>
        <v/>
      </c>
      <c r="B2542" s="36">
        <f t="shared" si="136"/>
        <v>10</v>
      </c>
      <c r="C2542" s="184">
        <f t="shared" si="134"/>
        <v>42651</v>
      </c>
      <c r="D2542" s="184" t="s">
        <v>1579</v>
      </c>
      <c r="E2542" s="191">
        <v>42651</v>
      </c>
      <c r="F2542" s="189" t="s">
        <v>1338</v>
      </c>
      <c r="G2542" s="456" t="s">
        <v>854</v>
      </c>
      <c r="H2542" s="7" t="s">
        <v>1581</v>
      </c>
      <c r="I2542" s="703">
        <v>140</v>
      </c>
      <c r="J2542" s="703">
        <v>12823.435002473612</v>
      </c>
      <c r="K2542" s="38">
        <f t="shared" si="135"/>
        <v>1795281</v>
      </c>
      <c r="L2542" s="566" t="s">
        <v>167</v>
      </c>
      <c r="M2542" s="566" t="s">
        <v>165</v>
      </c>
      <c r="N2542" s="52" t="str">
        <f>IF(AND('331-CT'!$E$7=TH!H2542,OR(L2542="331",M2542="331")),"331",IF(AND(OR(L2542="131",M2542="131"),H2542='131-CT'!$E$7),"131",""))</f>
        <v/>
      </c>
      <c r="O2542" s="857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0"/>
      <c r="AC2542" s="557"/>
      <c r="AD2542" s="557"/>
    </row>
    <row r="2543" spans="1:30" s="211" customFormat="1" ht="15.75" customHeight="1">
      <c r="A2543" s="204" t="str">
        <f>IF(B2543&lt;&gt;"",IF(AND(B2543&gt;=_TM1,B2543&lt;=_TM2,OR(TH!L2518="1111",TH!M2518="1111")),TH!D2518,""),"")</f>
        <v/>
      </c>
      <c r="B2543" s="36">
        <f t="shared" si="136"/>
        <v>10</v>
      </c>
      <c r="C2543" s="184">
        <f t="shared" si="134"/>
        <v>42651</v>
      </c>
      <c r="D2543" s="184" t="s">
        <v>1579</v>
      </c>
      <c r="E2543" s="191">
        <v>42651</v>
      </c>
      <c r="F2543" s="189" t="s">
        <v>1341</v>
      </c>
      <c r="G2543" s="456" t="s">
        <v>854</v>
      </c>
      <c r="H2543" s="7" t="s">
        <v>1581</v>
      </c>
      <c r="I2543" s="703">
        <v>140</v>
      </c>
      <c r="J2543" s="703">
        <v>9195.7527320369991</v>
      </c>
      <c r="K2543" s="38">
        <f t="shared" si="135"/>
        <v>1287405</v>
      </c>
      <c r="L2543" s="566" t="s">
        <v>167</v>
      </c>
      <c r="M2543" s="566" t="s">
        <v>165</v>
      </c>
      <c r="N2543" s="52" t="str">
        <f>IF(AND('331-CT'!$E$7=TH!H2543,OR(L2543="331",M2543="331")),"331",IF(AND(OR(L2543="131",M2543="131"),H2543='131-CT'!$E$7),"131",""))</f>
        <v/>
      </c>
      <c r="O2543" s="857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0"/>
      <c r="AC2543" s="557"/>
      <c r="AD2543" s="557"/>
    </row>
    <row r="2544" spans="1:30" s="211" customFormat="1" ht="15.75" customHeight="1">
      <c r="A2544" s="204" t="str">
        <f>IF(B2544&lt;&gt;"",IF(AND(B2544&gt;=_TM1,B2544&lt;=_TM2,OR(TH!L2519="1111",TH!M2519="1111")),TH!D2519,""),"")</f>
        <v/>
      </c>
      <c r="B2544" s="36">
        <f t="shared" si="136"/>
        <v>10</v>
      </c>
      <c r="C2544" s="184">
        <f t="shared" si="134"/>
        <v>42651</v>
      </c>
      <c r="D2544" s="184" t="s">
        <v>1579</v>
      </c>
      <c r="E2544" s="191">
        <v>42651</v>
      </c>
      <c r="F2544" s="189" t="s">
        <v>1339</v>
      </c>
      <c r="G2544" s="456" t="s">
        <v>854</v>
      </c>
      <c r="H2544" s="7" t="s">
        <v>1581</v>
      </c>
      <c r="I2544" s="703">
        <v>140</v>
      </c>
      <c r="J2544" s="703">
        <v>10208.129179600704</v>
      </c>
      <c r="K2544" s="38">
        <f t="shared" si="135"/>
        <v>1429138</v>
      </c>
      <c r="L2544" s="566" t="s">
        <v>167</v>
      </c>
      <c r="M2544" s="566" t="s">
        <v>165</v>
      </c>
      <c r="N2544" s="52" t="str">
        <f>IF(AND('331-CT'!$E$7=TH!H2544,OR(L2544="331",M2544="331")),"331",IF(AND(OR(L2544="131",M2544="131"),H2544='131-CT'!$E$7),"131",""))</f>
        <v/>
      </c>
      <c r="O2544" s="857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0"/>
      <c r="AC2544" s="557"/>
      <c r="AD2544" s="557"/>
    </row>
    <row r="2545" spans="1:30" s="211" customFormat="1" ht="15.75" customHeight="1">
      <c r="A2545" s="204" t="str">
        <f>IF(B2545&lt;&gt;"",IF(AND(B2545&gt;=_TM1,B2545&lt;=_TM2,OR(TH!L2520="1111",TH!M2520="1111")),TH!D2520,""),"")</f>
        <v/>
      </c>
      <c r="B2545" s="36">
        <f t="shared" si="136"/>
        <v>10</v>
      </c>
      <c r="C2545" s="184">
        <f t="shared" si="134"/>
        <v>42651</v>
      </c>
      <c r="D2545" s="184" t="s">
        <v>1579</v>
      </c>
      <c r="E2545" s="191">
        <v>42651</v>
      </c>
      <c r="F2545" s="189" t="s">
        <v>1340</v>
      </c>
      <c r="G2545" s="456" t="s">
        <v>854</v>
      </c>
      <c r="H2545" s="7" t="s">
        <v>1581</v>
      </c>
      <c r="I2545" s="256">
        <v>400</v>
      </c>
      <c r="J2545" s="256">
        <v>11220.505627164412</v>
      </c>
      <c r="K2545" s="38">
        <f t="shared" si="135"/>
        <v>4488202</v>
      </c>
      <c r="L2545" s="566" t="s">
        <v>167</v>
      </c>
      <c r="M2545" s="566" t="s">
        <v>165</v>
      </c>
      <c r="N2545" s="52" t="str">
        <f>IF(AND('331-CT'!$E$7=TH!H2545,OR(L2545="331",M2545="331")),"331",IF(AND(OR(L2545="131",M2545="131"),H2545='131-CT'!$E$7),"131",""))</f>
        <v/>
      </c>
      <c r="O2545" s="857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0"/>
      <c r="AC2545" s="557"/>
    </row>
    <row r="2546" spans="1:30" s="211" customFormat="1" ht="15.75" customHeight="1">
      <c r="A2546" s="204" t="str">
        <f>IF(B2546&lt;&gt;"",IF(AND(B2546&gt;=_TM1,B2546&lt;=_TM2,OR(TH!L2545="1111",TH!M2545="1111")),TH!D2545,""),"")</f>
        <v/>
      </c>
      <c r="B2546" s="36">
        <f t="shared" si="136"/>
        <v>10</v>
      </c>
      <c r="C2546" s="184">
        <f t="shared" si="134"/>
        <v>42651</v>
      </c>
      <c r="D2546" s="184" t="s">
        <v>1579</v>
      </c>
      <c r="E2546" s="726">
        <v>42651</v>
      </c>
      <c r="F2546" s="189" t="s">
        <v>1467</v>
      </c>
      <c r="G2546" s="456" t="s">
        <v>854</v>
      </c>
      <c r="H2546" s="7" t="s">
        <v>1581</v>
      </c>
      <c r="I2546" s="256">
        <v>100</v>
      </c>
      <c r="J2546" s="256">
        <v>17632.223128401216</v>
      </c>
      <c r="K2546" s="38">
        <f t="shared" si="135"/>
        <v>1763222</v>
      </c>
      <c r="L2546" s="566" t="s">
        <v>167</v>
      </c>
      <c r="M2546" s="566" t="s">
        <v>165</v>
      </c>
      <c r="N2546" s="52" t="str">
        <f>IF(AND('331-CT'!$E$7=TH!H2546,OR(L2546="331",M2546="331")),"331",IF(AND(OR(L2546="131",M2546="131"),H2546='131-CT'!$E$7),"131",""))</f>
        <v/>
      </c>
      <c r="O2546" s="857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0"/>
    </row>
    <row r="2547" spans="1:30" s="211" customFormat="1" ht="15.75" customHeight="1">
      <c r="A2547" s="204" t="str">
        <f>IF(B2547&lt;&gt;"",IF(AND(B2547&gt;=_TM1,B2547&lt;=_TM2,OR(TH!L2546="1111",TH!M2546="1111")),TH!D2546,""),"")</f>
        <v/>
      </c>
      <c r="B2547" s="36">
        <f t="shared" si="136"/>
        <v>10</v>
      </c>
      <c r="C2547" s="184">
        <f t="shared" si="134"/>
        <v>42651</v>
      </c>
      <c r="D2547" s="184" t="s">
        <v>1579</v>
      </c>
      <c r="E2547" s="726">
        <v>42651</v>
      </c>
      <c r="F2547" s="189" t="s">
        <v>1477</v>
      </c>
      <c r="G2547" s="456" t="s">
        <v>854</v>
      </c>
      <c r="H2547" s="7" t="s">
        <v>1581</v>
      </c>
      <c r="I2547" s="703">
        <v>170</v>
      </c>
      <c r="J2547" s="703">
        <v>17632.223128401216</v>
      </c>
      <c r="K2547" s="38">
        <f t="shared" si="135"/>
        <v>2997478</v>
      </c>
      <c r="L2547" s="566" t="s">
        <v>167</v>
      </c>
      <c r="M2547" s="566" t="s">
        <v>165</v>
      </c>
      <c r="N2547" s="52" t="str">
        <f>IF(AND('331-CT'!$E$7=TH!H2547,OR(L2547="331",M2547="331")),"331",IF(AND(OR(L2547="131",M2547="131"),H2547='131-CT'!$E$7),"131",""))</f>
        <v/>
      </c>
      <c r="O2547" s="857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0"/>
    </row>
    <row r="2548" spans="1:30" s="211" customFormat="1" ht="15.75" customHeight="1">
      <c r="A2548" s="204" t="str">
        <f>IF(B2548&lt;&gt;"",IF(AND(B2548&gt;=_TM1,B2548&lt;=_TM2,OR(TH!L2547="1111",TH!M2547="1111")),TH!D2547,""),"")</f>
        <v/>
      </c>
      <c r="B2548" s="36">
        <f t="shared" si="136"/>
        <v>10</v>
      </c>
      <c r="C2548" s="184">
        <f t="shared" si="134"/>
        <v>42653</v>
      </c>
      <c r="D2548" s="184" t="s">
        <v>1579</v>
      </c>
      <c r="E2548" s="726">
        <v>42653</v>
      </c>
      <c r="F2548" s="189" t="s">
        <v>1286</v>
      </c>
      <c r="G2548" s="456" t="s">
        <v>1575</v>
      </c>
      <c r="H2548" s="7" t="s">
        <v>1581</v>
      </c>
      <c r="I2548" s="256">
        <v>320</v>
      </c>
      <c r="J2548" s="256">
        <v>6917.9057250186588</v>
      </c>
      <c r="K2548" s="38">
        <f t="shared" si="135"/>
        <v>2213730</v>
      </c>
      <c r="L2548" s="566" t="s">
        <v>167</v>
      </c>
      <c r="M2548" s="566" t="s">
        <v>165</v>
      </c>
      <c r="N2548" s="52" t="str">
        <f>IF(AND('331-CT'!$E$7=TH!H2548,OR(L2548="331",M2548="331")),"331",IF(AND(OR(L2548="131",M2548="131"),H2548='131-CT'!$E$7),"131",""))</f>
        <v/>
      </c>
      <c r="O2548" s="857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0"/>
      <c r="AC2548" s="557"/>
      <c r="AD2548" s="557"/>
    </row>
    <row r="2549" spans="1:30" s="211" customFormat="1" ht="15.75" customHeight="1">
      <c r="A2549" s="204" t="str">
        <f>IF(B2549&lt;&gt;"",IF(AND(B2549&gt;=_TM1,B2549&lt;=_TM2,OR(TH!L2548="1111",TH!M2548="1111")),TH!D2548,""),"")</f>
        <v/>
      </c>
      <c r="B2549" s="36">
        <f t="shared" si="136"/>
        <v>10</v>
      </c>
      <c r="C2549" s="184">
        <f t="shared" si="134"/>
        <v>42653</v>
      </c>
      <c r="D2549" s="184" t="s">
        <v>1579</v>
      </c>
      <c r="E2549" s="726">
        <v>42653</v>
      </c>
      <c r="F2549" s="189" t="s">
        <v>471</v>
      </c>
      <c r="G2549" s="456" t="s">
        <v>1575</v>
      </c>
      <c r="H2549" s="7" t="s">
        <v>1581</v>
      </c>
      <c r="I2549" s="256">
        <v>659</v>
      </c>
      <c r="J2549" s="256">
        <v>13329.623226255466</v>
      </c>
      <c r="K2549" s="38">
        <f t="shared" si="135"/>
        <v>8784222</v>
      </c>
      <c r="L2549" s="566" t="s">
        <v>167</v>
      </c>
      <c r="M2549" s="566" t="s">
        <v>165</v>
      </c>
      <c r="N2549" s="52" t="str">
        <f>IF(AND('331-CT'!$E$7=TH!H2549,OR(L2549="331",M2549="331")),"331",IF(AND(OR(L2549="131",M2549="131"),H2549='131-CT'!$E$7),"131",""))</f>
        <v/>
      </c>
      <c r="O2549" s="857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790"/>
      <c r="AC2549" s="557"/>
    </row>
    <row r="2550" spans="1:30" s="211" customFormat="1" ht="15.75" customHeight="1">
      <c r="A2550" s="204" t="str">
        <f>IF(B2550&lt;&gt;"",IF(AND(B2550&gt;=_TM1,B2550&lt;=_TM2,OR(TH!L2549="1111",TH!M2549="1111")),TH!D2549,""),"")</f>
        <v/>
      </c>
      <c r="B2550" s="36">
        <f t="shared" si="136"/>
        <v>10</v>
      </c>
      <c r="C2550" s="184">
        <f t="shared" si="134"/>
        <v>42655</v>
      </c>
      <c r="D2550" s="184" t="s">
        <v>1579</v>
      </c>
      <c r="E2550" s="726">
        <v>42655</v>
      </c>
      <c r="F2550" s="189" t="s">
        <v>448</v>
      </c>
      <c r="G2550" s="456" t="s">
        <v>1342</v>
      </c>
      <c r="H2550" s="7" t="s">
        <v>1581</v>
      </c>
      <c r="I2550" s="256">
        <v>150</v>
      </c>
      <c r="J2550" s="256">
        <v>61164.410373640589</v>
      </c>
      <c r="K2550" s="38">
        <f t="shared" si="135"/>
        <v>9174662</v>
      </c>
      <c r="L2550" s="566" t="s">
        <v>167</v>
      </c>
      <c r="M2550" s="566" t="s">
        <v>165</v>
      </c>
      <c r="N2550" s="52" t="str">
        <f>IF(AND('331-CT'!$E$7=TH!H2550,OR(L2550="331",M2550="331")),"331",IF(AND(OR(L2550="131",M2550="131"),H2550='131-CT'!$E$7),"131",""))</f>
        <v/>
      </c>
      <c r="O2550" s="857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790"/>
      <c r="AC2550" s="557"/>
    </row>
    <row r="2551" spans="1:30" s="211" customFormat="1" ht="15.75" customHeight="1">
      <c r="A2551" s="204" t="str">
        <f>IF(B2551&lt;&gt;"",IF(AND(B2551&gt;=_TM1,B2551&lt;=_TM2,OR(TH!L2550="1111",TH!M2550="1111")),TH!D2550,""),"")</f>
        <v/>
      </c>
      <c r="B2551" s="36">
        <f t="shared" si="136"/>
        <v>10</v>
      </c>
      <c r="C2551" s="184">
        <f t="shared" si="134"/>
        <v>42656</v>
      </c>
      <c r="D2551" s="184" t="s">
        <v>1579</v>
      </c>
      <c r="E2551" s="726">
        <v>42656</v>
      </c>
      <c r="F2551" s="291" t="s">
        <v>1474</v>
      </c>
      <c r="G2551" s="455" t="s">
        <v>1343</v>
      </c>
      <c r="H2551" s="7" t="s">
        <v>1581</v>
      </c>
      <c r="I2551" s="256">
        <v>520</v>
      </c>
      <c r="J2551" s="256">
        <v>8014.6468765460077</v>
      </c>
      <c r="K2551" s="38">
        <f t="shared" si="135"/>
        <v>4167616</v>
      </c>
      <c r="L2551" s="566" t="s">
        <v>167</v>
      </c>
      <c r="M2551" s="566" t="s">
        <v>165</v>
      </c>
      <c r="N2551" s="52" t="str">
        <f>IF(AND('331-CT'!$E$7=TH!H2551,OR(L2551="331",M2551="331")),"331",IF(AND(OR(L2551="131",M2551="131"),H2551='131-CT'!$E$7),"131",""))</f>
        <v/>
      </c>
      <c r="O2551" s="857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790"/>
      <c r="AC2551" s="557"/>
      <c r="AD2551" s="557"/>
    </row>
    <row r="2552" spans="1:30" s="211" customFormat="1" ht="15.75" customHeight="1">
      <c r="A2552" s="204" t="str">
        <f>IF(B2552&lt;&gt;"",IF(AND(B2552&gt;=_TM1,B2552&lt;=_TM2,OR(TH!L2551="1111",TH!M2551="1111")),TH!D2551,""),"")</f>
        <v/>
      </c>
      <c r="B2552" s="36">
        <f t="shared" si="136"/>
        <v>10</v>
      </c>
      <c r="C2552" s="184">
        <f t="shared" si="134"/>
        <v>42656</v>
      </c>
      <c r="D2552" s="184" t="s">
        <v>1579</v>
      </c>
      <c r="E2552" s="726">
        <v>42656</v>
      </c>
      <c r="F2552" s="291" t="s">
        <v>1344</v>
      </c>
      <c r="G2552" s="455" t="s">
        <v>1343</v>
      </c>
      <c r="H2552" s="7" t="s">
        <v>1581</v>
      </c>
      <c r="I2552" s="753">
        <v>50</v>
      </c>
      <c r="J2552" s="256">
        <v>4640.0587180003204</v>
      </c>
      <c r="K2552" s="38">
        <f t="shared" si="135"/>
        <v>232003</v>
      </c>
      <c r="L2552" s="566" t="s">
        <v>167</v>
      </c>
      <c r="M2552" s="566" t="s">
        <v>165</v>
      </c>
      <c r="N2552" s="52" t="str">
        <f>IF(AND('331-CT'!$E$7=TH!H2552,OR(L2552="331",M2552="331")),"331",IF(AND(OR(L2552="131",M2552="131"),H2552='131-CT'!$E$7),"131",""))</f>
        <v/>
      </c>
      <c r="O2552" s="857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790"/>
      <c r="AC2552" s="557"/>
    </row>
    <row r="2553" spans="1:30" s="211" customFormat="1" ht="15.75" customHeight="1">
      <c r="A2553" s="204" t="str">
        <f>IF(B2553&lt;&gt;"",IF(AND(B2553&gt;=_TM1,B2553&lt;=_TM2,OR(TH!L2552="1111",TH!M2552="1111")),TH!D2552,""),"")</f>
        <v/>
      </c>
      <c r="B2553" s="36">
        <f t="shared" si="136"/>
        <v>10</v>
      </c>
      <c r="C2553" s="184">
        <f t="shared" si="134"/>
        <v>42656</v>
      </c>
      <c r="D2553" s="184" t="s">
        <v>1579</v>
      </c>
      <c r="E2553" s="191">
        <v>42656</v>
      </c>
      <c r="F2553" s="291" t="s">
        <v>1346</v>
      </c>
      <c r="G2553" s="455" t="s">
        <v>1345</v>
      </c>
      <c r="H2553" s="7" t="s">
        <v>1581</v>
      </c>
      <c r="I2553" s="256">
        <v>996</v>
      </c>
      <c r="J2553" s="256">
        <v>4724.4234219639629</v>
      </c>
      <c r="K2553" s="38">
        <f t="shared" si="135"/>
        <v>4705526</v>
      </c>
      <c r="L2553" s="566" t="s">
        <v>167</v>
      </c>
      <c r="M2553" s="566" t="s">
        <v>165</v>
      </c>
      <c r="N2553" s="52" t="str">
        <f>IF(AND('331-CT'!$E$7=TH!H2553,OR(L2553="331",M2553="331")),"331",IF(AND(OR(L2553="131",M2553="131"),H2553='131-CT'!$E$7),"131",""))</f>
        <v/>
      </c>
      <c r="O2553" s="857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790"/>
      <c r="AC2553" s="557"/>
      <c r="AD2553" s="557"/>
    </row>
    <row r="2554" spans="1:30" s="211" customFormat="1" ht="15.75" customHeight="1">
      <c r="A2554" s="204" t="str">
        <f>IF(B2554&lt;&gt;"",IF(AND(B2554&gt;=_TM1,B2554&lt;=_TM2,OR(TH!L2553="1111",TH!M2553="1111")),TH!D2553,""),"")</f>
        <v/>
      </c>
      <c r="B2554" s="36">
        <f t="shared" si="136"/>
        <v>10</v>
      </c>
      <c r="C2554" s="184">
        <f t="shared" si="134"/>
        <v>42661</v>
      </c>
      <c r="D2554" s="184" t="s">
        <v>1579</v>
      </c>
      <c r="E2554" s="191">
        <v>42661</v>
      </c>
      <c r="F2554" s="291" t="s">
        <v>1348</v>
      </c>
      <c r="G2554" s="455" t="s">
        <v>1347</v>
      </c>
      <c r="H2554" s="7" t="s">
        <v>1581</v>
      </c>
      <c r="I2554" s="256">
        <v>510</v>
      </c>
      <c r="J2554" s="256">
        <v>6158.6233893458793</v>
      </c>
      <c r="K2554" s="38">
        <f t="shared" si="135"/>
        <v>3140898</v>
      </c>
      <c r="L2554" s="566" t="s">
        <v>167</v>
      </c>
      <c r="M2554" s="566" t="s">
        <v>165</v>
      </c>
      <c r="N2554" s="52" t="str">
        <f>IF(AND('331-CT'!$E$7=TH!H2554,OR(L2554="331",M2554="331")),"331",IF(AND(OR(L2554="131",M2554="131"),H2554='131-CT'!$E$7),"131",""))</f>
        <v/>
      </c>
      <c r="O2554" s="857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790"/>
      <c r="AC2554" s="557"/>
    </row>
    <row r="2555" spans="1:30" s="211" customFormat="1" ht="15.75" customHeight="1">
      <c r="A2555" s="204" t="str">
        <f>IF(B2555&lt;&gt;"",IF(AND(B2555&gt;=_TM1,B2555&lt;=_TM2,OR(TH!L2554="1111",TH!M2554="1111")),TH!D2554,""),"")</f>
        <v/>
      </c>
      <c r="B2555" s="36">
        <f t="shared" si="136"/>
        <v>10</v>
      </c>
      <c r="C2555" s="184">
        <f t="shared" si="134"/>
        <v>42661</v>
      </c>
      <c r="D2555" s="184" t="s">
        <v>1579</v>
      </c>
      <c r="E2555" s="191">
        <v>42661</v>
      </c>
      <c r="F2555" s="291" t="s">
        <v>1351</v>
      </c>
      <c r="G2555" s="455" t="s">
        <v>1349</v>
      </c>
      <c r="H2555" s="7" t="s">
        <v>1581</v>
      </c>
      <c r="I2555" s="256">
        <v>5070</v>
      </c>
      <c r="J2555" s="256">
        <v>1856.0234872001281</v>
      </c>
      <c r="K2555" s="38">
        <f t="shared" si="135"/>
        <v>9410039</v>
      </c>
      <c r="L2555" s="566" t="s">
        <v>167</v>
      </c>
      <c r="M2555" s="566" t="s">
        <v>165</v>
      </c>
      <c r="N2555" s="52" t="str">
        <f>IF(AND('331-CT'!$E$7=TH!H2555,OR(L2555="331",M2555="331")),"331",IF(AND(OR(L2555="131",M2555="131"),H2555='131-CT'!$E$7),"131",""))</f>
        <v/>
      </c>
      <c r="O2555" s="857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790"/>
      <c r="AC2555" s="557"/>
      <c r="AD2555" s="557"/>
    </row>
    <row r="2556" spans="1:30" s="211" customFormat="1" ht="15.75" customHeight="1">
      <c r="A2556" s="204" t="str">
        <f>IF(B2556&lt;&gt;"",IF(AND(B2556&gt;=_TM1,B2556&lt;=_TM2,OR(TH!L2555="1111",TH!M2555="1111")),TH!D2555,""),"")</f>
        <v/>
      </c>
      <c r="B2556" s="36">
        <f t="shared" si="136"/>
        <v>10</v>
      </c>
      <c r="C2556" s="184">
        <f t="shared" si="134"/>
        <v>42661</v>
      </c>
      <c r="D2556" s="184" t="s">
        <v>1579</v>
      </c>
      <c r="E2556" s="191">
        <v>42661</v>
      </c>
      <c r="F2556" s="291" t="s">
        <v>1352</v>
      </c>
      <c r="G2556" s="455" t="s">
        <v>1349</v>
      </c>
      <c r="H2556" s="7" t="s">
        <v>1581</v>
      </c>
      <c r="I2556" s="703">
        <v>500</v>
      </c>
      <c r="J2556" s="703">
        <v>12654.705594546329</v>
      </c>
      <c r="K2556" s="38">
        <f t="shared" si="135"/>
        <v>6327353</v>
      </c>
      <c r="L2556" s="566" t="s">
        <v>167</v>
      </c>
      <c r="M2556" s="566" t="s">
        <v>165</v>
      </c>
      <c r="N2556" s="52" t="str">
        <f>IF(AND('331-CT'!$E$7=TH!H2556,OR(L2556="331",M2556="331")),"331",IF(AND(OR(L2556="131",M2556="131"),H2556='131-CT'!$E$7),"131",""))</f>
        <v/>
      </c>
      <c r="O2556" s="857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790"/>
      <c r="AC2556" s="557"/>
    </row>
    <row r="2557" spans="1:30" s="211" customFormat="1" ht="15.75" customHeight="1">
      <c r="A2557" s="204" t="str">
        <f>IF(B2557&lt;&gt;"",IF(AND(B2557&gt;=_TM1,B2557&lt;=_TM2,OR(TH!L2556="1111",TH!M2556="1111")),TH!D2556,""),"")</f>
        <v/>
      </c>
      <c r="B2557" s="36">
        <f t="shared" si="136"/>
        <v>10</v>
      </c>
      <c r="C2557" s="184">
        <f t="shared" si="134"/>
        <v>42661</v>
      </c>
      <c r="D2557" s="184" t="s">
        <v>1579</v>
      </c>
      <c r="E2557" s="191">
        <v>42661</v>
      </c>
      <c r="F2557" s="189" t="s">
        <v>1356</v>
      </c>
      <c r="G2557" s="456" t="s">
        <v>1353</v>
      </c>
      <c r="H2557" s="7" t="s">
        <v>1581</v>
      </c>
      <c r="I2557" s="703">
        <v>400</v>
      </c>
      <c r="J2557" s="703">
        <v>6496.0822052004487</v>
      </c>
      <c r="K2557" s="38">
        <f t="shared" si="135"/>
        <v>2598433</v>
      </c>
      <c r="L2557" s="566" t="s">
        <v>167</v>
      </c>
      <c r="M2557" s="566" t="s">
        <v>165</v>
      </c>
      <c r="N2557" s="52" t="str">
        <f>IF(AND('331-CT'!$E$7=TH!H2557,OR(L2557="331",M2557="331")),"331",IF(AND(OR(L2557="131",M2557="131"),H2557='131-CT'!$E$7),"131",""))</f>
        <v/>
      </c>
      <c r="O2557" s="857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790"/>
    </row>
    <row r="2558" spans="1:30" s="211" customFormat="1" ht="15.75" customHeight="1">
      <c r="A2558" s="204" t="str">
        <f>IF(B2558&lt;&gt;"",IF(AND(B2558&gt;=_TM1,B2558&lt;=_TM2,OR(TH!L2557="1111",TH!M2557="1111")),TH!D2557,""),"")</f>
        <v/>
      </c>
      <c r="B2558" s="36">
        <f t="shared" si="136"/>
        <v>10</v>
      </c>
      <c r="C2558" s="184">
        <f t="shared" si="134"/>
        <v>42661</v>
      </c>
      <c r="D2558" s="184" t="s">
        <v>1579</v>
      </c>
      <c r="E2558" s="191">
        <v>42661</v>
      </c>
      <c r="F2558" s="189" t="s">
        <v>1357</v>
      </c>
      <c r="G2558" s="456" t="s">
        <v>1353</v>
      </c>
      <c r="H2558" s="7" t="s">
        <v>1581</v>
      </c>
      <c r="I2558" s="256">
        <v>338</v>
      </c>
      <c r="J2558" s="256">
        <v>8436.4703963642187</v>
      </c>
      <c r="K2558" s="38">
        <f t="shared" si="135"/>
        <v>2851527</v>
      </c>
      <c r="L2558" s="566" t="s">
        <v>167</v>
      </c>
      <c r="M2558" s="566" t="s">
        <v>165</v>
      </c>
      <c r="N2558" s="52" t="str">
        <f>IF(AND('331-CT'!$E$7=TH!H2558,OR(L2558="331",M2558="331")),"331",IF(AND(OR(L2558="131",M2558="131"),H2558='131-CT'!$E$7),"131",""))</f>
        <v/>
      </c>
      <c r="O2558" s="857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790"/>
    </row>
    <row r="2559" spans="1:30" s="211" customFormat="1" ht="15.75" customHeight="1">
      <c r="A2559" s="204" t="str">
        <f>IF(B2559&lt;&gt;"",IF(AND(B2559&gt;=_TM1,B2559&lt;=_TM2,OR(TH!L2558="1111",TH!M2558="1111")),TH!D2558,""),"")</f>
        <v/>
      </c>
      <c r="B2559" s="36">
        <f t="shared" si="136"/>
        <v>10</v>
      </c>
      <c r="C2559" s="184">
        <f t="shared" si="134"/>
        <v>42661</v>
      </c>
      <c r="D2559" s="184" t="s">
        <v>1579</v>
      </c>
      <c r="E2559" s="191">
        <v>42661</v>
      </c>
      <c r="F2559" s="192" t="s">
        <v>1358</v>
      </c>
      <c r="G2559" s="456" t="s">
        <v>1353</v>
      </c>
      <c r="H2559" s="7" t="s">
        <v>1581</v>
      </c>
      <c r="I2559" s="256">
        <v>400</v>
      </c>
      <c r="J2559" s="256">
        <v>5821.1645734913109</v>
      </c>
      <c r="K2559" s="38">
        <f t="shared" si="135"/>
        <v>2328466</v>
      </c>
      <c r="L2559" s="566" t="s">
        <v>167</v>
      </c>
      <c r="M2559" s="566" t="s">
        <v>165</v>
      </c>
      <c r="N2559" s="52" t="str">
        <f>IF(AND('331-CT'!$E$7=TH!H2559,OR(L2559="331",M2559="331")),"331",IF(AND(OR(L2559="131",M2559="131"),H2559='131-CT'!$E$7),"131",""))</f>
        <v/>
      </c>
      <c r="O2559" s="857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790"/>
      <c r="AC2559" s="557"/>
      <c r="AD2559" s="557"/>
    </row>
    <row r="2560" spans="1:30" s="211" customFormat="1" ht="15.75" customHeight="1">
      <c r="A2560" s="204" t="str">
        <f>IF(B2560&lt;&gt;"",IF(AND(B2560&gt;=_TM1,B2560&lt;=_TM2,OR(TH!L2559="1111",TH!M2559="1111")),TH!D2559,""),"")</f>
        <v/>
      </c>
      <c r="B2560" s="36">
        <f t="shared" si="136"/>
        <v>10</v>
      </c>
      <c r="C2560" s="184">
        <f t="shared" si="134"/>
        <v>42661</v>
      </c>
      <c r="D2560" s="184" t="s">
        <v>1579</v>
      </c>
      <c r="E2560" s="191">
        <v>42661</v>
      </c>
      <c r="F2560" s="192" t="s">
        <v>1360</v>
      </c>
      <c r="G2560" s="456" t="s">
        <v>1355</v>
      </c>
      <c r="H2560" s="7" t="s">
        <v>1581</v>
      </c>
      <c r="I2560" s="256">
        <v>203</v>
      </c>
      <c r="J2560" s="256">
        <v>6327.3527972731645</v>
      </c>
      <c r="K2560" s="38">
        <f t="shared" si="135"/>
        <v>1284453</v>
      </c>
      <c r="L2560" s="566" t="s">
        <v>167</v>
      </c>
      <c r="M2560" s="566" t="s">
        <v>165</v>
      </c>
      <c r="N2560" s="52" t="str">
        <f>IF(AND('331-CT'!$E$7=TH!H2560,OR(L2560="331",M2560="331")),"331",IF(AND(OR(L2560="131",M2560="131"),H2560='131-CT'!$E$7),"131",""))</f>
        <v/>
      </c>
      <c r="O2560" s="857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790"/>
      <c r="AC2560" s="557"/>
      <c r="AD2560" s="557"/>
    </row>
    <row r="2561" spans="1:30" s="211" customFormat="1" ht="15.75" customHeight="1">
      <c r="A2561" s="204" t="str">
        <f>IF(B2561&lt;&gt;"",IF(AND(B2561&gt;=_TM1,B2561&lt;=_TM2,OR(TH!L2560="1111",TH!M2560="1111")),TH!D2560,""),"")</f>
        <v/>
      </c>
      <c r="B2561" s="36">
        <f t="shared" si="136"/>
        <v>10</v>
      </c>
      <c r="C2561" s="184">
        <f t="shared" si="134"/>
        <v>42661</v>
      </c>
      <c r="D2561" s="184" t="s">
        <v>1579</v>
      </c>
      <c r="E2561" s="191">
        <v>42661</v>
      </c>
      <c r="F2561" s="192" t="s">
        <v>511</v>
      </c>
      <c r="G2561" s="456" t="s">
        <v>1355</v>
      </c>
      <c r="H2561" s="7" t="s">
        <v>1581</v>
      </c>
      <c r="I2561" s="256">
        <v>200</v>
      </c>
      <c r="J2561" s="256">
        <v>7002.2704289823014</v>
      </c>
      <c r="K2561" s="38">
        <f t="shared" si="135"/>
        <v>1400454</v>
      </c>
      <c r="L2561" s="566" t="s">
        <v>167</v>
      </c>
      <c r="M2561" s="566" t="s">
        <v>165</v>
      </c>
      <c r="N2561" s="52" t="str">
        <f>IF(AND('331-CT'!$E$7=TH!H2561,OR(L2561="331",M2561="331")),"331",IF(AND(OR(L2561="131",M2561="131"),H2561='131-CT'!$E$7),"131",""))</f>
        <v/>
      </c>
      <c r="O2561" s="857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790"/>
      <c r="AC2561" s="557"/>
    </row>
    <row r="2562" spans="1:30" s="211" customFormat="1" ht="15.75" customHeight="1">
      <c r="A2562" s="204" t="str">
        <f>IF(B2562&lt;&gt;"",IF(AND(B2562&gt;=_TM1,B2562&lt;=_TM2,OR(TH!L2561="1111",TH!M2561="1111")),TH!D2561,""),"")</f>
        <v/>
      </c>
      <c r="B2562" s="36">
        <f t="shared" si="136"/>
        <v>10</v>
      </c>
      <c r="C2562" s="184">
        <f t="shared" si="134"/>
        <v>42662</v>
      </c>
      <c r="D2562" s="184" t="s">
        <v>1579</v>
      </c>
      <c r="E2562" s="191">
        <v>42662</v>
      </c>
      <c r="F2562" s="291" t="s">
        <v>1358</v>
      </c>
      <c r="G2562" s="456" t="s">
        <v>1361</v>
      </c>
      <c r="H2562" s="7" t="s">
        <v>1581</v>
      </c>
      <c r="I2562" s="256">
        <v>934</v>
      </c>
      <c r="J2562" s="256">
        <v>5821.1645734913109</v>
      </c>
      <c r="K2562" s="38">
        <f t="shared" si="135"/>
        <v>5436968</v>
      </c>
      <c r="L2562" s="566" t="s">
        <v>167</v>
      </c>
      <c r="M2562" s="566" t="s">
        <v>165</v>
      </c>
      <c r="N2562" s="52" t="str">
        <f>IF(AND('331-CT'!$E$7=TH!H2562,OR(L2562="331",M2562="331")),"331",IF(AND(OR(L2562="131",M2562="131"),H2562='131-CT'!$E$7),"131",""))</f>
        <v/>
      </c>
      <c r="O2562" s="857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790"/>
      <c r="AC2562" s="557"/>
      <c r="AD2562" s="557"/>
    </row>
    <row r="2563" spans="1:30" s="211" customFormat="1" ht="15.75" customHeight="1">
      <c r="A2563" s="204" t="str">
        <f>IF(B2563&lt;&gt;"",IF(AND(B2563&gt;=_TM1,B2563&lt;=_TM2,OR(TH!L2562="1111",TH!M2562="1111")),TH!D2562,""),"")</f>
        <v/>
      </c>
      <c r="B2563" s="36">
        <f t="shared" si="136"/>
        <v>10</v>
      </c>
      <c r="C2563" s="184">
        <f t="shared" si="134"/>
        <v>42662</v>
      </c>
      <c r="D2563" s="184" t="s">
        <v>1579</v>
      </c>
      <c r="E2563" s="191">
        <v>42662</v>
      </c>
      <c r="F2563" s="291" t="s">
        <v>1287</v>
      </c>
      <c r="G2563" s="456" t="s">
        <v>1362</v>
      </c>
      <c r="H2563" s="7" t="s">
        <v>1581</v>
      </c>
      <c r="I2563" s="256">
        <v>617</v>
      </c>
      <c r="J2563" s="256">
        <v>7677.1880606914392</v>
      </c>
      <c r="K2563" s="38">
        <f t="shared" si="135"/>
        <v>4736825</v>
      </c>
      <c r="L2563" s="566" t="s">
        <v>167</v>
      </c>
      <c r="M2563" s="566" t="s">
        <v>165</v>
      </c>
      <c r="N2563" s="52" t="str">
        <f>IF(AND('331-CT'!$E$7=TH!H2563,OR(L2563="331",M2563="331")),"331",IF(AND(OR(L2563="131",M2563="131"),H2563='131-CT'!$E$7),"131",""))</f>
        <v/>
      </c>
      <c r="O2563" s="857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790"/>
      <c r="AC2563" s="557"/>
    </row>
    <row r="2564" spans="1:30" s="211" customFormat="1" ht="15.75" customHeight="1">
      <c r="A2564" s="204" t="str">
        <f>IF(B2564&lt;&gt;"",IF(AND(B2564&gt;=_TM1,B2564&lt;=_TM2,OR(TH!L2563="1111",TH!M2563="1111")),TH!D2563,""),"")</f>
        <v/>
      </c>
      <c r="B2564" s="36">
        <f t="shared" si="136"/>
        <v>10</v>
      </c>
      <c r="C2564" s="184">
        <f t="shared" si="134"/>
        <v>42662</v>
      </c>
      <c r="D2564" s="184" t="s">
        <v>1579</v>
      </c>
      <c r="E2564" s="191">
        <v>42662</v>
      </c>
      <c r="F2564" s="291" t="s">
        <v>656</v>
      </c>
      <c r="G2564" s="456" t="s">
        <v>1362</v>
      </c>
      <c r="H2564" s="7" t="s">
        <v>1581</v>
      </c>
      <c r="I2564" s="256">
        <v>322</v>
      </c>
      <c r="J2564" s="256">
        <v>12485.976186619044</v>
      </c>
      <c r="K2564" s="38">
        <f t="shared" si="135"/>
        <v>4020484</v>
      </c>
      <c r="L2564" s="566" t="s">
        <v>167</v>
      </c>
      <c r="M2564" s="566" t="s">
        <v>165</v>
      </c>
      <c r="N2564" s="52" t="str">
        <f>IF(AND('331-CT'!$E$7=TH!H2564,OR(L2564="331",M2564="331")),"331",IF(AND(OR(L2564="131",M2564="131"),H2564='131-CT'!$E$7),"131",""))</f>
        <v/>
      </c>
      <c r="O2564" s="857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790"/>
      <c r="AC2564" s="557"/>
      <c r="AD2564" s="557"/>
    </row>
    <row r="2565" spans="1:30" s="211" customFormat="1" ht="15.75" customHeight="1">
      <c r="A2565" s="204" t="str">
        <f>IF(B2565&lt;&gt;"",IF(AND(B2565&gt;=_TM1,B2565&lt;=_TM2,OR(TH!L2564="1111",TH!M2564="1111")),TH!D2564,""),"")</f>
        <v/>
      </c>
      <c r="B2565" s="36">
        <f t="shared" si="136"/>
        <v>10</v>
      </c>
      <c r="C2565" s="184">
        <f t="shared" si="134"/>
        <v>42664</v>
      </c>
      <c r="D2565" s="184" t="s">
        <v>1579</v>
      </c>
      <c r="E2565" s="191">
        <v>42664</v>
      </c>
      <c r="F2565" s="291" t="s">
        <v>1472</v>
      </c>
      <c r="G2565" s="456" t="s">
        <v>1363</v>
      </c>
      <c r="H2565" s="7" t="s">
        <v>1581</v>
      </c>
      <c r="I2565" s="256">
        <v>1800</v>
      </c>
      <c r="J2565" s="256">
        <v>3627.6822704366141</v>
      </c>
      <c r="K2565" s="38">
        <f t="shared" si="135"/>
        <v>6529828</v>
      </c>
      <c r="L2565" s="566" t="s">
        <v>167</v>
      </c>
      <c r="M2565" s="566" t="s">
        <v>165</v>
      </c>
      <c r="N2565" s="52" t="str">
        <f>IF(AND('331-CT'!$E$7=TH!H2565,OR(L2565="331",M2565="331")),"331",IF(AND(OR(L2565="131",M2565="131"),H2565='131-CT'!$E$7),"131",""))</f>
        <v/>
      </c>
      <c r="O2565" s="857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790"/>
      <c r="AC2565" s="557"/>
    </row>
    <row r="2566" spans="1:30" s="211" customFormat="1" ht="15.75" customHeight="1">
      <c r="A2566" s="204" t="str">
        <f>IF(B2566&lt;&gt;"",IF(AND(B2566&gt;=_TM1,B2566&lt;=_TM2,OR(TH!L2565="1111",TH!M2565="1111")),TH!D2565,""),"")</f>
        <v/>
      </c>
      <c r="B2566" s="36">
        <f t="shared" si="136"/>
        <v>10</v>
      </c>
      <c r="C2566" s="184">
        <f t="shared" si="134"/>
        <v>42664</v>
      </c>
      <c r="D2566" s="184" t="s">
        <v>1579</v>
      </c>
      <c r="E2566" s="191">
        <v>42664</v>
      </c>
      <c r="F2566" s="291" t="s">
        <v>1338</v>
      </c>
      <c r="G2566" s="456" t="s">
        <v>1363</v>
      </c>
      <c r="H2566" s="7" t="s">
        <v>1581</v>
      </c>
      <c r="I2566" s="256">
        <v>30</v>
      </c>
      <c r="J2566" s="256">
        <v>12823.435002473612</v>
      </c>
      <c r="K2566" s="38">
        <f t="shared" si="135"/>
        <v>384703</v>
      </c>
      <c r="L2566" s="566" t="s">
        <v>167</v>
      </c>
      <c r="M2566" s="566" t="s">
        <v>165</v>
      </c>
      <c r="N2566" s="52" t="str">
        <f>IF(AND('331-CT'!$E$7=TH!H2566,OR(L2566="331",M2566="331")),"331",IF(AND(OR(L2566="131",M2566="131"),H2566='131-CT'!$E$7),"131",""))</f>
        <v/>
      </c>
      <c r="O2566" s="857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790"/>
      <c r="AC2566" s="557"/>
      <c r="AD2566" s="557"/>
    </row>
    <row r="2567" spans="1:30" s="211" customFormat="1" ht="15.75" customHeight="1">
      <c r="A2567" s="204" t="str">
        <f>IF(B2567&lt;&gt;"",IF(AND(B2567&gt;=_TM1,B2567&lt;=_TM2,OR(TH!L2566="1111",TH!M2566="1111")),TH!D2566,""),"")</f>
        <v/>
      </c>
      <c r="B2567" s="36">
        <f t="shared" si="136"/>
        <v>10</v>
      </c>
      <c r="C2567" s="184">
        <f t="shared" si="134"/>
        <v>42664</v>
      </c>
      <c r="D2567" s="184" t="s">
        <v>1579</v>
      </c>
      <c r="E2567" s="191">
        <v>42664</v>
      </c>
      <c r="F2567" s="291" t="s">
        <v>1338</v>
      </c>
      <c r="G2567" s="456" t="s">
        <v>1363</v>
      </c>
      <c r="H2567" s="7" t="s">
        <v>1581</v>
      </c>
      <c r="I2567" s="256">
        <v>30</v>
      </c>
      <c r="J2567" s="256">
        <v>12823.435002473612</v>
      </c>
      <c r="K2567" s="38">
        <f t="shared" si="135"/>
        <v>384703</v>
      </c>
      <c r="L2567" s="566" t="s">
        <v>167</v>
      </c>
      <c r="M2567" s="566" t="s">
        <v>165</v>
      </c>
      <c r="N2567" s="52" t="str">
        <f>IF(AND('331-CT'!$E$7=TH!H2567,OR(L2567="331",M2567="331")),"331",IF(AND(OR(L2567="131",M2567="131"),H2567='131-CT'!$E$7),"131",""))</f>
        <v/>
      </c>
      <c r="O2567" s="857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790"/>
      <c r="AC2567" s="557"/>
    </row>
    <row r="2568" spans="1:30" s="211" customFormat="1" ht="15.75" customHeight="1">
      <c r="A2568" s="204" t="str">
        <f>IF(B2568&lt;&gt;"",IF(AND(B2568&gt;=_TM1,B2568&lt;=_TM2,OR(TH!L2567="1111",TH!M2567="1111")),TH!D2567,""),"")</f>
        <v/>
      </c>
      <c r="B2568" s="36">
        <f t="shared" si="136"/>
        <v>10</v>
      </c>
      <c r="C2568" s="184">
        <f t="shared" si="134"/>
        <v>42664</v>
      </c>
      <c r="D2568" s="184" t="s">
        <v>1579</v>
      </c>
      <c r="E2568" s="191">
        <v>42664</v>
      </c>
      <c r="F2568" s="192" t="s">
        <v>1341</v>
      </c>
      <c r="G2568" s="456" t="s">
        <v>1363</v>
      </c>
      <c r="H2568" s="7" t="s">
        <v>1581</v>
      </c>
      <c r="I2568" s="256">
        <v>30</v>
      </c>
      <c r="J2568" s="256">
        <v>9195.7527320369991</v>
      </c>
      <c r="K2568" s="38">
        <f t="shared" si="135"/>
        <v>275873</v>
      </c>
      <c r="L2568" s="566" t="s">
        <v>167</v>
      </c>
      <c r="M2568" s="566" t="s">
        <v>165</v>
      </c>
      <c r="N2568" s="52" t="str">
        <f>IF(AND('331-CT'!$E$7=TH!H2568,OR(L2568="331",M2568="331")),"331",IF(AND(OR(L2568="131",M2568="131"),H2568='131-CT'!$E$7),"131",""))</f>
        <v/>
      </c>
      <c r="O2568" s="857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790"/>
      <c r="AC2568" s="557"/>
      <c r="AD2568" s="557"/>
    </row>
    <row r="2569" spans="1:30" s="211" customFormat="1" ht="15.75" customHeight="1">
      <c r="A2569" s="204" t="str">
        <f>IF(B2569&lt;&gt;"",IF(AND(B2569&gt;=_TM1,B2569&lt;=_TM2,OR(TH!L2568="1111",TH!M2568="1111")),TH!D2568,""),"")</f>
        <v/>
      </c>
      <c r="B2569" s="36">
        <f t="shared" si="136"/>
        <v>10</v>
      </c>
      <c r="C2569" s="184">
        <f t="shared" si="134"/>
        <v>42664</v>
      </c>
      <c r="D2569" s="184" t="s">
        <v>1579</v>
      </c>
      <c r="E2569" s="191">
        <v>42664</v>
      </c>
      <c r="F2569" s="192" t="s">
        <v>1339</v>
      </c>
      <c r="G2569" s="456" t="s">
        <v>1363</v>
      </c>
      <c r="H2569" s="7" t="s">
        <v>1581</v>
      </c>
      <c r="I2569" s="256">
        <v>30</v>
      </c>
      <c r="J2569" s="256">
        <v>10208.129179600704</v>
      </c>
      <c r="K2569" s="38">
        <f t="shared" si="135"/>
        <v>306244</v>
      </c>
      <c r="L2569" s="566" t="s">
        <v>167</v>
      </c>
      <c r="M2569" s="566" t="s">
        <v>165</v>
      </c>
      <c r="N2569" s="52" t="str">
        <f>IF(AND('331-CT'!$E$7=TH!H2569,OR(L2569="331",M2569="331")),"331",IF(AND(OR(L2569="131",M2569="131"),H2569='131-CT'!$E$7),"131",""))</f>
        <v/>
      </c>
      <c r="O2569" s="857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790"/>
      <c r="AC2569" s="557"/>
    </row>
    <row r="2570" spans="1:30" s="211" customFormat="1" ht="15.75" customHeight="1">
      <c r="A2570" s="204" t="str">
        <f>IF(B2570&lt;&gt;"",IF(AND(B2570&gt;=_TM1,B2570&lt;=_TM2,OR(TH!L2569="1111",TH!M2569="1111")),TH!D2569,""),"")</f>
        <v/>
      </c>
      <c r="B2570" s="36">
        <f t="shared" si="136"/>
        <v>10</v>
      </c>
      <c r="C2570" s="184">
        <f t="shared" si="134"/>
        <v>42664</v>
      </c>
      <c r="D2570" s="184" t="s">
        <v>1579</v>
      </c>
      <c r="E2570" s="191">
        <v>42664</v>
      </c>
      <c r="F2570" s="291" t="s">
        <v>1340</v>
      </c>
      <c r="G2570" s="456" t="s">
        <v>1363</v>
      </c>
      <c r="H2570" s="7" t="s">
        <v>1581</v>
      </c>
      <c r="I2570" s="256">
        <v>100</v>
      </c>
      <c r="J2570" s="256">
        <v>11220.505627164412</v>
      </c>
      <c r="K2570" s="38">
        <f t="shared" si="135"/>
        <v>1122051</v>
      </c>
      <c r="L2570" s="566" t="s">
        <v>167</v>
      </c>
      <c r="M2570" s="566" t="s">
        <v>165</v>
      </c>
      <c r="N2570" s="52" t="str">
        <f>IF(AND('331-CT'!$E$7=TH!H2570,OR(L2570="331",M2570="331")),"331",IF(AND(OR(L2570="131",M2570="131"),H2570='131-CT'!$E$7),"131",""))</f>
        <v/>
      </c>
      <c r="O2570" s="857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790"/>
      <c r="AC2570" s="557"/>
      <c r="AD2570" s="557"/>
    </row>
    <row r="2571" spans="1:30" s="211" customFormat="1" ht="15.75" customHeight="1">
      <c r="A2571" s="204" t="str">
        <f>IF(B2571&lt;&gt;"",IF(AND(B2571&gt;=_TM1,B2571&lt;=_TM2,OR(TH!L2570="1111",TH!M2570="1111")),TH!D2570,""),"")</f>
        <v/>
      </c>
      <c r="B2571" s="36">
        <f t="shared" si="136"/>
        <v>10</v>
      </c>
      <c r="C2571" s="184">
        <f t="shared" ref="C2571:C2634" si="137">E2571</f>
        <v>42664</v>
      </c>
      <c r="D2571" s="184" t="s">
        <v>1579</v>
      </c>
      <c r="E2571" s="191">
        <v>42664</v>
      </c>
      <c r="F2571" s="291" t="s">
        <v>1467</v>
      </c>
      <c r="G2571" s="456" t="s">
        <v>1363</v>
      </c>
      <c r="H2571" s="7" t="s">
        <v>1581</v>
      </c>
      <c r="I2571" s="256">
        <v>30</v>
      </c>
      <c r="J2571" s="256">
        <v>17632.223128401216</v>
      </c>
      <c r="K2571" s="38">
        <f t="shared" si="135"/>
        <v>528967</v>
      </c>
      <c r="L2571" s="566" t="s">
        <v>167</v>
      </c>
      <c r="M2571" s="566" t="s">
        <v>165</v>
      </c>
      <c r="N2571" s="52" t="str">
        <f>IF(AND('331-CT'!$E$7=TH!H2571,OR(L2571="331",M2571="331")),"331",IF(AND(OR(L2571="131",M2571="131"),H2571='131-CT'!$E$7),"131",""))</f>
        <v/>
      </c>
      <c r="O2571" s="857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790"/>
      <c r="AC2571" s="557"/>
    </row>
    <row r="2572" spans="1:30" s="211" customFormat="1" ht="15.75" customHeight="1">
      <c r="A2572" s="204" t="str">
        <f>IF(B2572&lt;&gt;"",IF(AND(B2572&gt;=_TM1,B2572&lt;=_TM2,OR(TH!L2571="1111",TH!M2571="1111")),TH!D2571,""),"")</f>
        <v/>
      </c>
      <c r="B2572" s="36">
        <f t="shared" si="136"/>
        <v>10</v>
      </c>
      <c r="C2572" s="184">
        <f t="shared" si="137"/>
        <v>42664</v>
      </c>
      <c r="D2572" s="184" t="s">
        <v>1579</v>
      </c>
      <c r="E2572" s="191">
        <v>42664</v>
      </c>
      <c r="F2572" s="192" t="s">
        <v>1477</v>
      </c>
      <c r="G2572" s="456" t="s">
        <v>1363</v>
      </c>
      <c r="H2572" s="7" t="s">
        <v>1581</v>
      </c>
      <c r="I2572" s="256">
        <v>70</v>
      </c>
      <c r="J2572" s="256">
        <v>17632.223128401216</v>
      </c>
      <c r="K2572" s="38">
        <f t="shared" si="135"/>
        <v>1234256</v>
      </c>
      <c r="L2572" s="566" t="s">
        <v>167</v>
      </c>
      <c r="M2572" s="566" t="s">
        <v>165</v>
      </c>
      <c r="N2572" s="52" t="str">
        <f>IF(AND('331-CT'!$E$7=TH!H2572,OR(L2572="331",M2572="331")),"331",IF(AND(OR(L2572="131",M2572="131"),H2572='131-CT'!$E$7),"131",""))</f>
        <v/>
      </c>
      <c r="O2572" s="857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790"/>
      <c r="AC2572" s="557"/>
      <c r="AD2572" s="557"/>
    </row>
    <row r="2573" spans="1:30" s="211" customFormat="1" ht="15.75" customHeight="1">
      <c r="A2573" s="204" t="str">
        <f>IF(B2573&lt;&gt;"",IF(AND(B2573&gt;=_TM1,B2573&lt;=_TM2,OR(TH!L2572="1111",TH!M2572="1111")),TH!D2572,""),"")</f>
        <v/>
      </c>
      <c r="B2573" s="36">
        <f t="shared" si="136"/>
        <v>10</v>
      </c>
      <c r="C2573" s="184">
        <f t="shared" si="137"/>
        <v>42665</v>
      </c>
      <c r="D2573" s="184" t="s">
        <v>1579</v>
      </c>
      <c r="E2573" s="191">
        <v>42665</v>
      </c>
      <c r="F2573" s="192" t="s">
        <v>1365</v>
      </c>
      <c r="G2573" s="456" t="s">
        <v>1364</v>
      </c>
      <c r="H2573" s="7" t="s">
        <v>1581</v>
      </c>
      <c r="I2573" s="256">
        <v>296</v>
      </c>
      <c r="J2573" s="256">
        <v>11304.870331128053</v>
      </c>
      <c r="K2573" s="38">
        <f t="shared" si="135"/>
        <v>3346242</v>
      </c>
      <c r="L2573" s="566" t="s">
        <v>167</v>
      </c>
      <c r="M2573" s="566" t="s">
        <v>165</v>
      </c>
      <c r="N2573" s="52" t="str">
        <f>IF(AND('331-CT'!$E$7=TH!H2573,OR(L2573="331",M2573="331")),"331",IF(AND(OR(L2573="131",M2573="131"),H2573='131-CT'!$E$7),"131",""))</f>
        <v/>
      </c>
      <c r="O2573" s="857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790"/>
      <c r="AC2573" s="557"/>
      <c r="AD2573" s="557"/>
    </row>
    <row r="2574" spans="1:30" s="211" customFormat="1" ht="15.75" customHeight="1">
      <c r="A2574" s="204" t="str">
        <f>IF(B2574&lt;&gt;"",IF(AND(B2574&gt;=_TM1,B2574&lt;=_TM2,OR(TH!L2573="1111",TH!M2573="1111")),TH!D2573,""),"")</f>
        <v/>
      </c>
      <c r="B2574" s="36">
        <f t="shared" si="136"/>
        <v>10</v>
      </c>
      <c r="C2574" s="184">
        <f t="shared" si="137"/>
        <v>42665</v>
      </c>
      <c r="D2574" s="184" t="s">
        <v>1579</v>
      </c>
      <c r="E2574" s="191">
        <v>42665</v>
      </c>
      <c r="F2574" s="192" t="s">
        <v>1366</v>
      </c>
      <c r="G2574" s="456" t="s">
        <v>1364</v>
      </c>
      <c r="H2574" s="7" t="s">
        <v>1581</v>
      </c>
      <c r="I2574" s="256">
        <v>100</v>
      </c>
      <c r="J2574" s="256">
        <v>7845.9174686187234</v>
      </c>
      <c r="K2574" s="38">
        <f t="shared" si="135"/>
        <v>784592</v>
      </c>
      <c r="L2574" s="566" t="s">
        <v>167</v>
      </c>
      <c r="M2574" s="566" t="s">
        <v>165</v>
      </c>
      <c r="N2574" s="52" t="str">
        <f>IF(AND('331-CT'!$E$7=TH!H2574,OR(L2574="331",M2574="331")),"331",IF(AND(OR(L2574="131",M2574="131"),H2574='131-CT'!$E$7),"131",""))</f>
        <v/>
      </c>
      <c r="O2574" s="857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790"/>
      <c r="AC2574" s="557"/>
    </row>
    <row r="2575" spans="1:30" s="211" customFormat="1" ht="15.75" customHeight="1">
      <c r="A2575" s="204" t="str">
        <f>IF(B2575&lt;&gt;"",IF(AND(B2575&gt;=_TM1,B2575&lt;=_TM2,OR(TH!L2574="1111",TH!M2574="1111")),TH!D2574,""),"")</f>
        <v/>
      </c>
      <c r="B2575" s="36">
        <f t="shared" si="136"/>
        <v>10</v>
      </c>
      <c r="C2575" s="184">
        <f t="shared" si="137"/>
        <v>42665</v>
      </c>
      <c r="D2575" s="184" t="s">
        <v>1579</v>
      </c>
      <c r="E2575" s="726">
        <v>42665</v>
      </c>
      <c r="F2575" s="291" t="s">
        <v>1367</v>
      </c>
      <c r="G2575" s="456" t="s">
        <v>1364</v>
      </c>
      <c r="H2575" s="7" t="s">
        <v>1581</v>
      </c>
      <c r="I2575" s="256">
        <v>52</v>
      </c>
      <c r="J2575" s="256">
        <v>8858.2939161824306</v>
      </c>
      <c r="K2575" s="38">
        <f t="shared" si="135"/>
        <v>460631</v>
      </c>
      <c r="L2575" s="566" t="s">
        <v>167</v>
      </c>
      <c r="M2575" s="566" t="s">
        <v>165</v>
      </c>
      <c r="N2575" s="52" t="str">
        <f>IF(AND('331-CT'!$E$7=TH!H2575,OR(L2575="331",M2575="331")),"331",IF(AND(OR(L2575="131",M2575="131"),H2575='131-CT'!$E$7),"131",""))</f>
        <v/>
      </c>
      <c r="O2575" s="857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790"/>
      <c r="AC2575" s="557"/>
      <c r="AD2575" s="557"/>
    </row>
    <row r="2576" spans="1:30" s="211" customFormat="1" ht="15.75" customHeight="1">
      <c r="A2576" s="204" t="str">
        <f>IF(B2576&lt;&gt;"",IF(AND(B2576&gt;=_TM1,B2576&lt;=_TM2,OR(TH!L2575="1111",TH!M2575="1111")),TH!D2575,""),"")</f>
        <v/>
      </c>
      <c r="B2576" s="36">
        <f t="shared" si="136"/>
        <v>10</v>
      </c>
      <c r="C2576" s="184">
        <f t="shared" si="137"/>
        <v>42665</v>
      </c>
      <c r="D2576" s="184" t="s">
        <v>1579</v>
      </c>
      <c r="E2576" s="726">
        <v>42665</v>
      </c>
      <c r="F2576" s="291" t="s">
        <v>1369</v>
      </c>
      <c r="G2576" s="456" t="s">
        <v>1368</v>
      </c>
      <c r="H2576" s="7" t="s">
        <v>1581</v>
      </c>
      <c r="I2576" s="256">
        <v>526</v>
      </c>
      <c r="J2576" s="256">
        <v>5230.6116457458156</v>
      </c>
      <c r="K2576" s="38">
        <f t="shared" si="135"/>
        <v>2751302</v>
      </c>
      <c r="L2576" s="566" t="s">
        <v>167</v>
      </c>
      <c r="M2576" s="566" t="s">
        <v>165</v>
      </c>
      <c r="N2576" s="52" t="str">
        <f>IF(AND('331-CT'!$E$7=TH!H2576,OR(L2576="331",M2576="331")),"331",IF(AND(OR(L2576="131",M2576="131"),H2576='131-CT'!$E$7),"131",""))</f>
        <v/>
      </c>
      <c r="O2576" s="857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790"/>
      <c r="AC2576" s="557"/>
    </row>
    <row r="2577" spans="1:30" s="211" customFormat="1" ht="15.75" customHeight="1">
      <c r="A2577" s="204" t="str">
        <f>IF(B2577&lt;&gt;"",IF(AND(B2577&gt;=_TM1,B2577&lt;=_TM2,OR(TH!L2576="1111",TH!M2576="1111")),TH!D2576,""),"")</f>
        <v/>
      </c>
      <c r="B2577" s="36">
        <f t="shared" si="136"/>
        <v>10</v>
      </c>
      <c r="C2577" s="184">
        <f t="shared" si="137"/>
        <v>42667</v>
      </c>
      <c r="D2577" s="184" t="s">
        <v>1579</v>
      </c>
      <c r="E2577" s="726">
        <v>42667</v>
      </c>
      <c r="F2577" s="291" t="s">
        <v>1286</v>
      </c>
      <c r="G2577" s="456" t="s">
        <v>1370</v>
      </c>
      <c r="H2577" s="7" t="s">
        <v>1581</v>
      </c>
      <c r="I2577" s="256">
        <v>1188</v>
      </c>
      <c r="J2577" s="256">
        <v>6917.9057250186588</v>
      </c>
      <c r="K2577" s="38">
        <f t="shared" si="135"/>
        <v>8218472</v>
      </c>
      <c r="L2577" s="566" t="s">
        <v>167</v>
      </c>
      <c r="M2577" s="566" t="s">
        <v>165</v>
      </c>
      <c r="N2577" s="52" t="str">
        <f>IF(AND('331-CT'!$E$7=TH!H2577,OR(L2577="331",M2577="331")),"331",IF(AND(OR(L2577="131",M2577="131"),H2577='131-CT'!$E$7),"131",""))</f>
        <v/>
      </c>
      <c r="O2577" s="857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0"/>
      <c r="AC2577" s="557"/>
      <c r="AD2577" s="557"/>
    </row>
    <row r="2578" spans="1:30" s="211" customFormat="1" ht="15.75" customHeight="1">
      <c r="A2578" s="204" t="str">
        <f>IF(B2578&lt;&gt;"",IF(AND(B2578&gt;=_TM1,B2578&lt;=_TM2,OR(TH!L2577="1111",TH!M2577="1111")),TH!D2577,""),"")</f>
        <v/>
      </c>
      <c r="B2578" s="36">
        <f t="shared" si="136"/>
        <v>10</v>
      </c>
      <c r="C2578" s="184">
        <f t="shared" si="137"/>
        <v>42667</v>
      </c>
      <c r="D2578" s="184" t="s">
        <v>1579</v>
      </c>
      <c r="E2578" s="726">
        <v>42667</v>
      </c>
      <c r="F2578" s="291" t="s">
        <v>655</v>
      </c>
      <c r="G2578" s="456" t="s">
        <v>1370</v>
      </c>
      <c r="H2578" s="7" t="s">
        <v>1581</v>
      </c>
      <c r="I2578" s="256">
        <v>215</v>
      </c>
      <c r="J2578" s="256">
        <v>10967.411515273485</v>
      </c>
      <c r="K2578" s="38">
        <f t="shared" si="135"/>
        <v>2357993</v>
      </c>
      <c r="L2578" s="566" t="s">
        <v>167</v>
      </c>
      <c r="M2578" s="566" t="s">
        <v>165</v>
      </c>
      <c r="N2578" s="52" t="str">
        <f>IF(AND('331-CT'!$E$7=TH!H2578,OR(L2578="331",M2578="331")),"331",IF(AND(OR(L2578="131",M2578="131"),H2578='131-CT'!$E$7),"131",""))</f>
        <v/>
      </c>
      <c r="O2578" s="857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0"/>
      <c r="AC2578" s="557"/>
    </row>
    <row r="2579" spans="1:30" s="211" customFormat="1" ht="15.75" customHeight="1">
      <c r="A2579" s="204" t="str">
        <f>IF(B2579&lt;&gt;"",IF(AND(B2579&gt;=_TM1,B2579&lt;=_TM2,OR(TH!L2578="1111",TH!M2578="1111")),TH!D2578,""),"")</f>
        <v/>
      </c>
      <c r="B2579" s="36">
        <f t="shared" si="136"/>
        <v>10</v>
      </c>
      <c r="C2579" s="184">
        <f t="shared" si="137"/>
        <v>42668</v>
      </c>
      <c r="D2579" s="184" t="s">
        <v>1579</v>
      </c>
      <c r="E2579" s="726">
        <v>42668</v>
      </c>
      <c r="F2579" s="189" t="s">
        <v>1372</v>
      </c>
      <c r="G2579" s="456" t="s">
        <v>1371</v>
      </c>
      <c r="H2579" s="7" t="s">
        <v>1581</v>
      </c>
      <c r="I2579" s="256">
        <v>720</v>
      </c>
      <c r="J2579" s="256">
        <v>5399.3410536730999</v>
      </c>
      <c r="K2579" s="38">
        <f t="shared" ref="K2579:K2642" si="138">ROUND(I2579*J2579,0)</f>
        <v>3887526</v>
      </c>
      <c r="L2579" s="566" t="s">
        <v>167</v>
      </c>
      <c r="M2579" s="566" t="s">
        <v>165</v>
      </c>
      <c r="N2579" s="52" t="str">
        <f>IF(AND('331-CT'!$E$7=TH!H2579,OR(L2579="331",M2579="331")),"331",IF(AND(OR(L2579="131",M2579="131"),H2579='131-CT'!$E$7),"131",""))</f>
        <v/>
      </c>
      <c r="O2579" s="857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0"/>
    </row>
    <row r="2580" spans="1:30" s="211" customFormat="1" ht="15.75" customHeight="1">
      <c r="A2580" s="204" t="str">
        <f>IF(B2580&lt;&gt;"",IF(AND(B2580&gt;=_TM1,B2580&lt;=_TM2,OR(TH!L2579="1111",TH!M2579="1111")),TH!D2579,""),"")</f>
        <v/>
      </c>
      <c r="B2580" s="36">
        <f t="shared" si="136"/>
        <v>10</v>
      </c>
      <c r="C2580" s="184">
        <f t="shared" si="137"/>
        <v>42668</v>
      </c>
      <c r="D2580" s="184" t="s">
        <v>1579</v>
      </c>
      <c r="E2580" s="726">
        <v>42668</v>
      </c>
      <c r="F2580" s="189" t="s">
        <v>1373</v>
      </c>
      <c r="G2580" s="456" t="s">
        <v>1371</v>
      </c>
      <c r="H2580" s="7" t="s">
        <v>1581</v>
      </c>
      <c r="I2580" s="256">
        <v>313</v>
      </c>
      <c r="J2580" s="256">
        <v>4471.3293100730361</v>
      </c>
      <c r="K2580" s="38">
        <f t="shared" si="138"/>
        <v>1399526</v>
      </c>
      <c r="L2580" s="566" t="s">
        <v>167</v>
      </c>
      <c r="M2580" s="566" t="s">
        <v>165</v>
      </c>
      <c r="N2580" s="52" t="str">
        <f>IF(AND('331-CT'!$E$7=TH!H2580,OR(L2580="331",M2580="331")),"331",IF(AND(OR(L2580="131",M2580="131"),H2580='131-CT'!$E$7),"131",""))</f>
        <v/>
      </c>
      <c r="O2580" s="857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0"/>
    </row>
    <row r="2581" spans="1:30" s="211" customFormat="1" ht="15.75" customHeight="1">
      <c r="A2581" s="204" t="str">
        <f>IF(B2581&lt;&gt;"",IF(AND(B2581&gt;=_TM1,B2581&lt;=_TM2,OR(TH!L2580="1111",TH!M2580="1111")),TH!D2580,""),"")</f>
        <v/>
      </c>
      <c r="B2581" s="36">
        <f t="shared" si="136"/>
        <v>10</v>
      </c>
      <c r="C2581" s="184">
        <f t="shared" si="137"/>
        <v>42669</v>
      </c>
      <c r="D2581" s="184" t="s">
        <v>1579</v>
      </c>
      <c r="E2581" s="726">
        <v>42669</v>
      </c>
      <c r="F2581" s="192" t="s">
        <v>1099</v>
      </c>
      <c r="G2581" s="456" t="s">
        <v>1374</v>
      </c>
      <c r="H2581" s="7" t="s">
        <v>1581</v>
      </c>
      <c r="I2581" s="256">
        <v>60</v>
      </c>
      <c r="J2581" s="256">
        <v>71372.539553241295</v>
      </c>
      <c r="K2581" s="38">
        <f t="shared" si="138"/>
        <v>4282352</v>
      </c>
      <c r="L2581" s="566" t="s">
        <v>167</v>
      </c>
      <c r="M2581" s="566" t="s">
        <v>165</v>
      </c>
      <c r="N2581" s="52" t="str">
        <f>IF(AND('331-CT'!$E$7=TH!H2581,OR(L2581="331",M2581="331")),"331",IF(AND(OR(L2581="131",M2581="131"),H2581='131-CT'!$E$7),"131",""))</f>
        <v/>
      </c>
      <c r="O2581" s="857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0"/>
      <c r="AC2581" s="557"/>
      <c r="AD2581" s="557"/>
    </row>
    <row r="2582" spans="1:30" s="211" customFormat="1" ht="15.75" customHeight="1">
      <c r="A2582" s="204" t="str">
        <f>IF(B2582&lt;&gt;"",IF(AND(B2582&gt;=_TM1,B2582&lt;=_TM2,OR(TH!L2581="1111",TH!M2581="1111")),TH!D2581,""),"")</f>
        <v/>
      </c>
      <c r="B2582" s="36">
        <f t="shared" si="136"/>
        <v>10</v>
      </c>
      <c r="C2582" s="184">
        <f t="shared" si="137"/>
        <v>42669</v>
      </c>
      <c r="D2582" s="184" t="s">
        <v>1579</v>
      </c>
      <c r="E2582" s="726">
        <v>42669</v>
      </c>
      <c r="F2582" s="192" t="s">
        <v>448</v>
      </c>
      <c r="G2582" s="456" t="s">
        <v>1374</v>
      </c>
      <c r="H2582" s="7" t="s">
        <v>1581</v>
      </c>
      <c r="I2582" s="256">
        <v>154</v>
      </c>
      <c r="J2582" s="256">
        <v>61164.410373640589</v>
      </c>
      <c r="K2582" s="38">
        <f t="shared" si="138"/>
        <v>9419319</v>
      </c>
      <c r="L2582" s="566" t="s">
        <v>167</v>
      </c>
      <c r="M2582" s="566" t="s">
        <v>165</v>
      </c>
      <c r="N2582" s="52" t="str">
        <f>IF(AND('331-CT'!$E$7=TH!H2582,OR(L2582="331",M2582="331")),"331",IF(AND(OR(L2582="131",M2582="131"),H2582='131-CT'!$E$7),"131",""))</f>
        <v/>
      </c>
      <c r="O2582" s="857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0"/>
      <c r="AC2582" s="557"/>
    </row>
    <row r="2583" spans="1:30" s="211" customFormat="1" ht="15.75" customHeight="1">
      <c r="A2583" s="204" t="str">
        <f>IF(B2583&lt;&gt;"",IF(AND(B2583&gt;=_TM1,B2583&lt;=_TM2,OR(TH!L2582="1111",TH!M2582="1111")),TH!D2582,""),"")</f>
        <v/>
      </c>
      <c r="B2583" s="36">
        <f t="shared" si="136"/>
        <v>10</v>
      </c>
      <c r="C2583" s="184">
        <f t="shared" si="137"/>
        <v>42669</v>
      </c>
      <c r="D2583" s="184" t="s">
        <v>1579</v>
      </c>
      <c r="E2583" s="726">
        <v>42669</v>
      </c>
      <c r="F2583" s="291" t="s">
        <v>1475</v>
      </c>
      <c r="G2583" s="456" t="s">
        <v>1376</v>
      </c>
      <c r="H2583" s="7" t="s">
        <v>1581</v>
      </c>
      <c r="I2583" s="256">
        <v>520</v>
      </c>
      <c r="J2583" s="256">
        <v>2699.6705268365499</v>
      </c>
      <c r="K2583" s="38">
        <f t="shared" si="138"/>
        <v>1403829</v>
      </c>
      <c r="L2583" s="566" t="s">
        <v>167</v>
      </c>
      <c r="M2583" s="566" t="s">
        <v>165</v>
      </c>
      <c r="N2583" s="52" t="str">
        <f>IF(AND('331-CT'!$E$7=TH!H2583,OR(L2583="331",M2583="331")),"331",IF(AND(OR(L2583="131",M2583="131"),H2583='131-CT'!$E$7),"131",""))</f>
        <v/>
      </c>
      <c r="O2583" s="857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0"/>
      <c r="AC2583" s="557"/>
      <c r="AD2583" s="557"/>
    </row>
    <row r="2584" spans="1:30" s="211" customFormat="1" ht="15.75" customHeight="1">
      <c r="A2584" s="204" t="str">
        <f>IF(B2584&lt;&gt;"",IF(AND(B2584&gt;=_TM1,B2584&lt;=_TM2,OR(TH!L2583="1111",TH!M2583="1111")),TH!D2583,""),"")</f>
        <v/>
      </c>
      <c r="B2584" s="36">
        <f t="shared" si="136"/>
        <v>10</v>
      </c>
      <c r="C2584" s="184">
        <f t="shared" si="137"/>
        <v>42669</v>
      </c>
      <c r="D2584" s="184" t="s">
        <v>1579</v>
      </c>
      <c r="E2584" s="726">
        <v>42669</v>
      </c>
      <c r="F2584" s="291" t="s">
        <v>1475</v>
      </c>
      <c r="G2584" s="456" t="s">
        <v>1376</v>
      </c>
      <c r="H2584" s="7" t="s">
        <v>1581</v>
      </c>
      <c r="I2584" s="256">
        <v>550</v>
      </c>
      <c r="J2584" s="256">
        <v>2699.6705268365499</v>
      </c>
      <c r="K2584" s="38">
        <f t="shared" si="138"/>
        <v>1484819</v>
      </c>
      <c r="L2584" s="566" t="s">
        <v>167</v>
      </c>
      <c r="M2584" s="566" t="s">
        <v>165</v>
      </c>
      <c r="N2584" s="52" t="str">
        <f>IF(AND('331-CT'!$E$7=TH!H2584,OR(L2584="331",M2584="331")),"331",IF(AND(OR(L2584="131",M2584="131"),H2584='131-CT'!$E$7),"131",""))</f>
        <v/>
      </c>
      <c r="O2584" s="857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0"/>
      <c r="AC2584" s="557"/>
    </row>
    <row r="2585" spans="1:30" s="211" customFormat="1" ht="15.75" customHeight="1">
      <c r="A2585" s="204" t="str">
        <f>IF(B2585&lt;&gt;"",IF(AND(B2585&gt;=_TM1,B2585&lt;=_TM2,OR(TH!L2584="1111",TH!M2584="1111")),TH!D2584,""),"")</f>
        <v/>
      </c>
      <c r="B2585" s="36">
        <f t="shared" si="136"/>
        <v>10</v>
      </c>
      <c r="C2585" s="184">
        <f t="shared" si="137"/>
        <v>42670</v>
      </c>
      <c r="D2585" s="184" t="s">
        <v>1579</v>
      </c>
      <c r="E2585" s="726">
        <v>42670</v>
      </c>
      <c r="F2585" s="291" t="s">
        <v>1379</v>
      </c>
      <c r="G2585" s="456" t="s">
        <v>1378</v>
      </c>
      <c r="H2585" s="7" t="s">
        <v>1581</v>
      </c>
      <c r="I2585" s="256">
        <v>100</v>
      </c>
      <c r="J2585" s="256">
        <v>15860.56434516473</v>
      </c>
      <c r="K2585" s="38">
        <f t="shared" si="138"/>
        <v>1586056</v>
      </c>
      <c r="L2585" s="566" t="s">
        <v>167</v>
      </c>
      <c r="M2585" s="566" t="s">
        <v>165</v>
      </c>
      <c r="N2585" s="52" t="str">
        <f>IF(AND('331-CT'!$E$7=TH!H2585,OR(L2585="331",M2585="331")),"331",IF(AND(OR(L2585="131",M2585="131"),H2585='131-CT'!$E$7),"131",""))</f>
        <v/>
      </c>
      <c r="O2585" s="857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0"/>
      <c r="AC2585" s="557"/>
      <c r="AD2585" s="557"/>
    </row>
    <row r="2586" spans="1:30" s="211" customFormat="1" ht="15.75" customHeight="1">
      <c r="A2586" s="204" t="str">
        <f>IF(B2586&lt;&gt;"",IF(AND(B2586&gt;=_TM1,B2586&lt;=_TM2,OR(TH!L2585="1111",TH!M2585="1111")),TH!D2585,""),"")</f>
        <v/>
      </c>
      <c r="B2586" s="36">
        <f t="shared" si="136"/>
        <v>10</v>
      </c>
      <c r="C2586" s="184">
        <f t="shared" si="137"/>
        <v>42670</v>
      </c>
      <c r="D2586" s="184" t="s">
        <v>1579</v>
      </c>
      <c r="E2586" s="726">
        <v>42670</v>
      </c>
      <c r="F2586" s="291" t="s">
        <v>1382</v>
      </c>
      <c r="G2586" s="456" t="s">
        <v>1381</v>
      </c>
      <c r="H2586" s="7" t="s">
        <v>1581</v>
      </c>
      <c r="I2586" s="256">
        <v>25</v>
      </c>
      <c r="J2586" s="256">
        <v>8099.0115805096493</v>
      </c>
      <c r="K2586" s="38">
        <f t="shared" si="138"/>
        <v>202475</v>
      </c>
      <c r="L2586" s="566" t="s">
        <v>167</v>
      </c>
      <c r="M2586" s="566" t="s">
        <v>165</v>
      </c>
      <c r="N2586" s="52" t="str">
        <f>IF(AND('331-CT'!$E$7=TH!H2586,OR(L2586="331",M2586="331")),"331",IF(AND(OR(L2586="131",M2586="131"),H2586='131-CT'!$E$7),"131",""))</f>
        <v/>
      </c>
      <c r="O2586" s="857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0"/>
      <c r="AC2586" s="557"/>
    </row>
    <row r="2587" spans="1:30" s="211" customFormat="1" ht="15.75" customHeight="1">
      <c r="A2587" s="204" t="str">
        <f>IF(B2587&lt;&gt;"",IF(AND(B2587&gt;=_TM1,B2587&lt;=_TM2,OR(TH!L2586="1111",TH!M2586="1111")),TH!D2586,""),"")</f>
        <v/>
      </c>
      <c r="B2587" s="36">
        <f t="shared" si="136"/>
        <v>11</v>
      </c>
      <c r="C2587" s="184">
        <f t="shared" si="137"/>
        <v>42676</v>
      </c>
      <c r="D2587" s="184" t="s">
        <v>1579</v>
      </c>
      <c r="E2587" s="726">
        <v>42676</v>
      </c>
      <c r="F2587" s="192" t="s">
        <v>1472</v>
      </c>
      <c r="G2587" s="456" t="s">
        <v>1383</v>
      </c>
      <c r="H2587" s="7" t="s">
        <v>1581</v>
      </c>
      <c r="I2587" s="256">
        <v>1800</v>
      </c>
      <c r="J2587" s="256">
        <v>3627.6822704366141</v>
      </c>
      <c r="K2587" s="38">
        <f t="shared" si="138"/>
        <v>6529828</v>
      </c>
      <c r="L2587" s="566" t="s">
        <v>167</v>
      </c>
      <c r="M2587" s="566" t="s">
        <v>165</v>
      </c>
      <c r="N2587" s="52" t="str">
        <f>IF(AND('331-CT'!$E$7=TH!H2587,OR(L2587="331",M2587="331")),"331",IF(AND(OR(L2587="131",M2587="131"),H2587='131-CT'!$E$7),"131",""))</f>
        <v/>
      </c>
      <c r="O2587" s="857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0"/>
      <c r="AC2587" s="557"/>
      <c r="AD2587" s="557"/>
    </row>
    <row r="2588" spans="1:30" s="211" customFormat="1" ht="15.75" customHeight="1">
      <c r="A2588" s="204" t="str">
        <f>IF(B2588&lt;&gt;"",IF(AND(B2588&gt;=_TM1,B2588&lt;=_TM2,OR(TH!L2587="1111",TH!M2587="1111")),TH!D2587,""),"")</f>
        <v/>
      </c>
      <c r="B2588" s="36">
        <f t="shared" si="136"/>
        <v>11</v>
      </c>
      <c r="C2588" s="184">
        <f t="shared" si="137"/>
        <v>42676</v>
      </c>
      <c r="D2588" s="184" t="s">
        <v>1579</v>
      </c>
      <c r="E2588" s="726">
        <v>42676</v>
      </c>
      <c r="F2588" s="192" t="s">
        <v>1338</v>
      </c>
      <c r="G2588" s="456" t="s">
        <v>1383</v>
      </c>
      <c r="H2588" s="7" t="s">
        <v>1581</v>
      </c>
      <c r="I2588" s="256">
        <v>30</v>
      </c>
      <c r="J2588" s="256">
        <v>12823.435002473612</v>
      </c>
      <c r="K2588" s="38">
        <f t="shared" si="138"/>
        <v>384703</v>
      </c>
      <c r="L2588" s="566" t="s">
        <v>167</v>
      </c>
      <c r="M2588" s="566" t="s">
        <v>165</v>
      </c>
      <c r="N2588" s="52" t="str">
        <f>IF(AND('331-CT'!$E$7=TH!H2588,OR(L2588="331",M2588="331")),"331",IF(AND(OR(L2588="131",M2588="131"),H2588='131-CT'!$E$7),"131",""))</f>
        <v/>
      </c>
      <c r="O2588" s="857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0"/>
      <c r="AC2588" s="557"/>
      <c r="AD2588" s="557"/>
    </row>
    <row r="2589" spans="1:30" s="211" customFormat="1" ht="15.75" customHeight="1">
      <c r="A2589" s="204" t="str">
        <f>IF(B2589&lt;&gt;"",IF(AND(B2589&gt;=_TM1,B2589&lt;=_TM2,OR(TH!L2588="1111",TH!M2588="1111")),TH!D2588,""),"")</f>
        <v/>
      </c>
      <c r="B2589" s="36">
        <f t="shared" si="136"/>
        <v>11</v>
      </c>
      <c r="C2589" s="184">
        <f t="shared" si="137"/>
        <v>42676</v>
      </c>
      <c r="D2589" s="184" t="s">
        <v>1579</v>
      </c>
      <c r="E2589" s="726">
        <v>42676</v>
      </c>
      <c r="F2589" s="192" t="s">
        <v>1338</v>
      </c>
      <c r="G2589" s="456" t="s">
        <v>1383</v>
      </c>
      <c r="H2589" s="7" t="s">
        <v>1581</v>
      </c>
      <c r="I2589" s="256">
        <v>30</v>
      </c>
      <c r="J2589" s="256">
        <v>12823.435002473612</v>
      </c>
      <c r="K2589" s="38">
        <f t="shared" si="138"/>
        <v>384703</v>
      </c>
      <c r="L2589" s="566" t="s">
        <v>167</v>
      </c>
      <c r="M2589" s="566" t="s">
        <v>165</v>
      </c>
      <c r="N2589" s="52" t="str">
        <f>IF(AND('331-CT'!$E$7=TH!H2589,OR(L2589="331",M2589="331")),"331",IF(AND(OR(L2589="131",M2589="131"),H2589='131-CT'!$E$7),"131",""))</f>
        <v/>
      </c>
      <c r="O2589" s="857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0"/>
      <c r="AC2589" s="557"/>
    </row>
    <row r="2590" spans="1:30" s="211" customFormat="1" ht="15.75" customHeight="1">
      <c r="A2590" s="204" t="str">
        <f>IF(B2590&lt;&gt;"",IF(AND(B2590&gt;=_TM1,B2590&lt;=_TM2,OR(TH!L2589="1111",TH!M2589="1111")),TH!D2589,""),"")</f>
        <v/>
      </c>
      <c r="B2590" s="36">
        <f t="shared" si="136"/>
        <v>11</v>
      </c>
      <c r="C2590" s="184">
        <f t="shared" si="137"/>
        <v>42676</v>
      </c>
      <c r="D2590" s="184" t="s">
        <v>1579</v>
      </c>
      <c r="E2590" s="726">
        <v>42676</v>
      </c>
      <c r="F2590" s="291" t="s">
        <v>1341</v>
      </c>
      <c r="G2590" s="456" t="s">
        <v>1383</v>
      </c>
      <c r="H2590" s="7" t="s">
        <v>1581</v>
      </c>
      <c r="I2590" s="256">
        <v>30</v>
      </c>
      <c r="J2590" s="256">
        <v>9195.7527320369991</v>
      </c>
      <c r="K2590" s="38">
        <f t="shared" si="138"/>
        <v>275873</v>
      </c>
      <c r="L2590" s="566" t="s">
        <v>167</v>
      </c>
      <c r="M2590" s="566" t="s">
        <v>165</v>
      </c>
      <c r="N2590" s="52" t="str">
        <f>IF(AND('331-CT'!$E$7=TH!H2590,OR(L2590="331",M2590="331")),"331",IF(AND(OR(L2590="131",M2590="131"),H2590='131-CT'!$E$7),"131",""))</f>
        <v/>
      </c>
      <c r="O2590" s="857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0"/>
      <c r="AC2590" s="557"/>
      <c r="AD2590" s="557"/>
    </row>
    <row r="2591" spans="1:30" s="211" customFormat="1" ht="15.75" customHeight="1">
      <c r="A2591" s="204" t="str">
        <f>IF(B2591&lt;&gt;"",IF(AND(B2591&gt;=_TM1,B2591&lt;=_TM2,OR(TH!L2590="1111",TH!M2590="1111")),TH!D2590,""),"")</f>
        <v/>
      </c>
      <c r="B2591" s="36">
        <f t="shared" si="136"/>
        <v>11</v>
      </c>
      <c r="C2591" s="184">
        <f t="shared" si="137"/>
        <v>42676</v>
      </c>
      <c r="D2591" s="184" t="s">
        <v>1579</v>
      </c>
      <c r="E2591" s="724">
        <v>42676</v>
      </c>
      <c r="F2591" s="291" t="s">
        <v>1339</v>
      </c>
      <c r="G2591" s="456" t="s">
        <v>1383</v>
      </c>
      <c r="H2591" s="7" t="s">
        <v>1581</v>
      </c>
      <c r="I2591" s="256">
        <v>30</v>
      </c>
      <c r="J2591" s="256">
        <v>10208.129179600704</v>
      </c>
      <c r="K2591" s="38">
        <f t="shared" si="138"/>
        <v>306244</v>
      </c>
      <c r="L2591" s="566" t="s">
        <v>167</v>
      </c>
      <c r="M2591" s="566" t="s">
        <v>165</v>
      </c>
      <c r="N2591" s="52" t="str">
        <f>IF(AND('331-CT'!$E$7=TH!H2591,OR(L2591="331",M2591="331")),"331",IF(AND(OR(L2591="131",M2591="131"),H2591='131-CT'!$E$7),"131",""))</f>
        <v/>
      </c>
      <c r="O2591" s="857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0"/>
      <c r="AC2591" s="557"/>
    </row>
    <row r="2592" spans="1:30" s="211" customFormat="1" ht="15.75" customHeight="1">
      <c r="A2592" s="204" t="str">
        <f>IF(B2592&lt;&gt;"",IF(AND(B2592&gt;=_TM1,B2592&lt;=_TM2,OR(TH!L2591="1111",TH!M2591="1111")),TH!D2591,""),"")</f>
        <v/>
      </c>
      <c r="B2592" s="36">
        <f t="shared" si="136"/>
        <v>11</v>
      </c>
      <c r="C2592" s="184">
        <f t="shared" si="137"/>
        <v>42676</v>
      </c>
      <c r="D2592" s="184" t="s">
        <v>1579</v>
      </c>
      <c r="E2592" s="724">
        <v>42676</v>
      </c>
      <c r="F2592" s="291" t="s">
        <v>1340</v>
      </c>
      <c r="G2592" s="456" t="s">
        <v>1383</v>
      </c>
      <c r="H2592" s="7" t="s">
        <v>1581</v>
      </c>
      <c r="I2592" s="256">
        <v>100</v>
      </c>
      <c r="J2592" s="256">
        <v>11220.505627164412</v>
      </c>
      <c r="K2592" s="38">
        <f t="shared" si="138"/>
        <v>1122051</v>
      </c>
      <c r="L2592" s="566" t="s">
        <v>167</v>
      </c>
      <c r="M2592" s="566" t="s">
        <v>165</v>
      </c>
      <c r="N2592" s="52" t="str">
        <f>IF(AND('331-CT'!$E$7=TH!H2592,OR(L2592="331",M2592="331")),"331",IF(AND(OR(L2592="131",M2592="131"),H2592='131-CT'!$E$7),"131",""))</f>
        <v/>
      </c>
      <c r="O2592" s="857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0"/>
      <c r="AC2592" s="557"/>
      <c r="AD2592" s="557"/>
    </row>
    <row r="2593" spans="1:30" s="211" customFormat="1" ht="15.75" customHeight="1">
      <c r="A2593" s="204" t="str">
        <f>IF(B2593&lt;&gt;"",IF(AND(B2593&gt;=_TM1,B2593&lt;=_TM2,OR(TH!L2592="1111",TH!M2592="1111")),TH!D2592,""),"")</f>
        <v/>
      </c>
      <c r="B2593" s="36">
        <f t="shared" si="136"/>
        <v>11</v>
      </c>
      <c r="C2593" s="184">
        <f t="shared" si="137"/>
        <v>42676</v>
      </c>
      <c r="D2593" s="184" t="s">
        <v>1579</v>
      </c>
      <c r="E2593" s="724">
        <v>42676</v>
      </c>
      <c r="F2593" s="291" t="s">
        <v>1467</v>
      </c>
      <c r="G2593" s="456" t="s">
        <v>1383</v>
      </c>
      <c r="H2593" s="7" t="s">
        <v>1581</v>
      </c>
      <c r="I2593" s="256">
        <v>30</v>
      </c>
      <c r="J2593" s="256">
        <v>17632.223128401216</v>
      </c>
      <c r="K2593" s="38">
        <f t="shared" si="138"/>
        <v>528967</v>
      </c>
      <c r="L2593" s="566" t="s">
        <v>167</v>
      </c>
      <c r="M2593" s="566" t="s">
        <v>165</v>
      </c>
      <c r="N2593" s="52" t="str">
        <f>IF(AND('331-CT'!$E$7=TH!H2593,OR(L2593="331",M2593="331")),"331",IF(AND(OR(L2593="131",M2593="131"),H2593='131-CT'!$E$7),"131",""))</f>
        <v/>
      </c>
      <c r="O2593" s="857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0"/>
      <c r="AC2593" s="557"/>
    </row>
    <row r="2594" spans="1:30" s="211" customFormat="1" ht="15.75" customHeight="1">
      <c r="A2594" s="204" t="str">
        <f>IF(B2594&lt;&gt;"",IF(AND(B2594&gt;=_TM1,B2594&lt;=_TM2,OR(TH!L2593="1111",TH!M2593="1111")),TH!D2593,""),"")</f>
        <v/>
      </c>
      <c r="B2594" s="36">
        <f t="shared" si="136"/>
        <v>11</v>
      </c>
      <c r="C2594" s="184">
        <f t="shared" si="137"/>
        <v>42676</v>
      </c>
      <c r="D2594" s="184" t="s">
        <v>1579</v>
      </c>
      <c r="E2594" s="724">
        <v>42676</v>
      </c>
      <c r="F2594" s="291" t="s">
        <v>1477</v>
      </c>
      <c r="G2594" s="456" t="s">
        <v>1383</v>
      </c>
      <c r="H2594" s="7" t="s">
        <v>1581</v>
      </c>
      <c r="I2594" s="256">
        <v>70</v>
      </c>
      <c r="J2594" s="256">
        <v>17632.223128401216</v>
      </c>
      <c r="K2594" s="38">
        <f t="shared" si="138"/>
        <v>1234256</v>
      </c>
      <c r="L2594" s="566" t="s">
        <v>167</v>
      </c>
      <c r="M2594" s="566" t="s">
        <v>165</v>
      </c>
      <c r="N2594" s="52" t="str">
        <f>IF(AND('331-CT'!$E$7=TH!H2594,OR(L2594="331",M2594="331")),"331",IF(AND(OR(L2594="131",M2594="131"),H2594='131-CT'!$E$7),"131",""))</f>
        <v/>
      </c>
      <c r="O2594" s="857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0"/>
      <c r="AC2594" s="557"/>
      <c r="AD2594" s="557"/>
    </row>
    <row r="2595" spans="1:30" s="211" customFormat="1" ht="15.75" customHeight="1">
      <c r="A2595" s="204" t="str">
        <f>IF(B2595&lt;&gt;"",IF(AND(B2595&gt;=_TM1,B2595&lt;=_TM2,OR(TH!L2594="1111",TH!M2594="1111")),TH!D2594,""),"")</f>
        <v/>
      </c>
      <c r="B2595" s="36">
        <f t="shared" si="136"/>
        <v>11</v>
      </c>
      <c r="C2595" s="184">
        <f t="shared" si="137"/>
        <v>42677</v>
      </c>
      <c r="D2595" s="184" t="s">
        <v>1579</v>
      </c>
      <c r="E2595" s="726">
        <v>42677</v>
      </c>
      <c r="F2595" s="291" t="s">
        <v>1346</v>
      </c>
      <c r="G2595" s="456" t="s">
        <v>1384</v>
      </c>
      <c r="H2595" s="7" t="s">
        <v>1581</v>
      </c>
      <c r="I2595" s="256">
        <v>974</v>
      </c>
      <c r="J2595" s="256">
        <v>4724.4234219639629</v>
      </c>
      <c r="K2595" s="38">
        <f t="shared" si="138"/>
        <v>4601588</v>
      </c>
      <c r="L2595" s="566" t="s">
        <v>167</v>
      </c>
      <c r="M2595" s="566" t="s">
        <v>165</v>
      </c>
      <c r="N2595" s="52" t="str">
        <f>IF(AND('331-CT'!$E$7=TH!H2595,OR(L2595="331",M2595="331")),"331",IF(AND(OR(L2595="131",M2595="131"),H2595='131-CT'!$E$7),"131",""))</f>
        <v/>
      </c>
      <c r="O2595" s="857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0"/>
      <c r="AC2595" s="557"/>
    </row>
    <row r="2596" spans="1:30" s="211" customFormat="1" ht="15.75" customHeight="1">
      <c r="A2596" s="204" t="str">
        <f>IF(B2596&lt;&gt;"",IF(AND(B2596&gt;=_TM1,B2596&lt;=_TM2,OR(TH!L2595="1111",TH!M2595="1111")),TH!D2595,""),"")</f>
        <v/>
      </c>
      <c r="B2596" s="36">
        <f t="shared" si="136"/>
        <v>11</v>
      </c>
      <c r="C2596" s="184">
        <f t="shared" si="137"/>
        <v>42679</v>
      </c>
      <c r="D2596" s="184" t="s">
        <v>1579</v>
      </c>
      <c r="E2596" s="726">
        <v>42679</v>
      </c>
      <c r="F2596" s="291" t="s">
        <v>1474</v>
      </c>
      <c r="G2596" s="456" t="s">
        <v>1385</v>
      </c>
      <c r="H2596" s="7" t="s">
        <v>1581</v>
      </c>
      <c r="I2596" s="256">
        <v>450</v>
      </c>
      <c r="J2596" s="256">
        <v>8014.6468765460077</v>
      </c>
      <c r="K2596" s="38">
        <f t="shared" si="138"/>
        <v>3606591</v>
      </c>
      <c r="L2596" s="566" t="s">
        <v>167</v>
      </c>
      <c r="M2596" s="566" t="s">
        <v>165</v>
      </c>
      <c r="N2596" s="52" t="str">
        <f>IF(AND('331-CT'!$E$7=TH!H2596,OR(L2596="331",M2596="331")),"331",IF(AND(OR(L2596="131",M2596="131"),H2596='131-CT'!$E$7),"131",""))</f>
        <v/>
      </c>
      <c r="O2596" s="857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0"/>
      <c r="AC2596" s="557"/>
      <c r="AD2596" s="557"/>
    </row>
    <row r="2597" spans="1:30" s="211" customFormat="1" ht="15.75" customHeight="1">
      <c r="A2597" s="204" t="str">
        <f>IF(B2597&lt;&gt;"",IF(AND(B2597&gt;=_TM1,B2597&lt;=_TM2,OR(TH!L2596="1111",TH!M2596="1111")),TH!D2596,""),"")</f>
        <v/>
      </c>
      <c r="B2597" s="36">
        <f t="shared" si="136"/>
        <v>11</v>
      </c>
      <c r="C2597" s="184">
        <f t="shared" si="137"/>
        <v>42679</v>
      </c>
      <c r="D2597" s="184" t="s">
        <v>1579</v>
      </c>
      <c r="E2597" s="726">
        <v>42679</v>
      </c>
      <c r="F2597" s="291" t="s">
        <v>1474</v>
      </c>
      <c r="G2597" s="456" t="s">
        <v>1385</v>
      </c>
      <c r="H2597" s="7" t="s">
        <v>1581</v>
      </c>
      <c r="I2597" s="703">
        <v>200</v>
      </c>
      <c r="J2597" s="703">
        <v>8014.6468765460077</v>
      </c>
      <c r="K2597" s="38">
        <f t="shared" si="138"/>
        <v>1602929</v>
      </c>
      <c r="L2597" s="566" t="s">
        <v>167</v>
      </c>
      <c r="M2597" s="566" t="s">
        <v>165</v>
      </c>
      <c r="N2597" s="52" t="str">
        <f>IF(AND('331-CT'!$E$7=TH!H2597,OR(L2597="331",M2597="331")),"331",IF(AND(OR(L2597="131",M2597="131"),H2597='131-CT'!$E$7),"131",""))</f>
        <v/>
      </c>
      <c r="O2597" s="857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0"/>
      <c r="AC2597" s="557"/>
    </row>
    <row r="2598" spans="1:30" s="211" customFormat="1" ht="15.75" customHeight="1">
      <c r="A2598" s="204" t="str">
        <f>IF(B2598&lt;&gt;"",IF(AND(B2598&gt;=_TM1,B2598&lt;=_TM2,OR(TH!L2599="1111",TH!M2599="1111")),TH!D2599,""),"")</f>
        <v/>
      </c>
      <c r="B2598" s="36">
        <f t="shared" si="136"/>
        <v>11</v>
      </c>
      <c r="C2598" s="184">
        <f t="shared" si="137"/>
        <v>42679</v>
      </c>
      <c r="D2598" s="184" t="s">
        <v>1579</v>
      </c>
      <c r="E2598" s="726">
        <v>42679</v>
      </c>
      <c r="F2598" s="291" t="s">
        <v>1386</v>
      </c>
      <c r="G2598" s="456" t="s">
        <v>1385</v>
      </c>
      <c r="H2598" s="7" t="s">
        <v>1581</v>
      </c>
      <c r="I2598" s="703">
        <v>530</v>
      </c>
      <c r="J2598" s="703">
        <v>6327.3527972731645</v>
      </c>
      <c r="K2598" s="38">
        <f t="shared" si="138"/>
        <v>3353497</v>
      </c>
      <c r="L2598" s="566" t="s">
        <v>167</v>
      </c>
      <c r="M2598" s="566" t="s">
        <v>165</v>
      </c>
      <c r="N2598" s="52" t="str">
        <f>IF(AND('331-CT'!$E$7=TH!H2598,OR(L2598="331",M2598="331")),"331",IF(AND(OR(L2598="131",M2598="131"),H2598='131-CT'!$E$7),"131",""))</f>
        <v/>
      </c>
      <c r="O2598" s="857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0"/>
      <c r="AC2598" s="557"/>
      <c r="AD2598" s="557"/>
    </row>
    <row r="2599" spans="1:30" s="211" customFormat="1" ht="15.75" customHeight="1">
      <c r="A2599" s="204" t="str">
        <f>IF(B2599&lt;&gt;"",IF(AND(B2599&gt;=_TM1,B2599&lt;=_TM2,OR(TH!L2600="1111",TH!M2600="1111")),TH!D2600,""),"")</f>
        <v/>
      </c>
      <c r="B2599" s="36">
        <f t="shared" si="136"/>
        <v>11</v>
      </c>
      <c r="C2599" s="184">
        <f t="shared" si="137"/>
        <v>42683</v>
      </c>
      <c r="D2599" s="184" t="s">
        <v>1579</v>
      </c>
      <c r="E2599" s="726">
        <v>42683</v>
      </c>
      <c r="F2599" s="291" t="s">
        <v>1397</v>
      </c>
      <c r="G2599" s="456" t="s">
        <v>1394</v>
      </c>
      <c r="H2599" s="7" t="s">
        <v>1581</v>
      </c>
      <c r="I2599" s="256">
        <v>233</v>
      </c>
      <c r="J2599" s="256">
        <v>5652.4351655640266</v>
      </c>
      <c r="K2599" s="38">
        <f t="shared" si="138"/>
        <v>1317017</v>
      </c>
      <c r="L2599" s="566" t="s">
        <v>167</v>
      </c>
      <c r="M2599" s="566" t="s">
        <v>165</v>
      </c>
      <c r="N2599" s="52" t="str">
        <f>IF(AND('331-CT'!$E$7=TH!H2599,OR(L2599="331",M2599="331")),"331",IF(AND(OR(L2599="131",M2599="131"),H2599='131-CT'!$E$7),"131",""))</f>
        <v/>
      </c>
      <c r="O2599" s="857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0"/>
      <c r="AC2599" s="557"/>
    </row>
    <row r="2600" spans="1:30" s="211" customFormat="1" ht="15.75" customHeight="1">
      <c r="A2600" s="204" t="str">
        <f>IF(B2600&lt;&gt;"",IF(AND(B2600&gt;=_TM1,B2600&lt;=_TM2,OR(TH!L2601="1111",TH!M2601="1111")),TH!D2601,""),"")</f>
        <v/>
      </c>
      <c r="B2600" s="36">
        <f t="shared" si="136"/>
        <v>11</v>
      </c>
      <c r="C2600" s="184">
        <f t="shared" si="137"/>
        <v>42683</v>
      </c>
      <c r="D2600" s="184" t="s">
        <v>1579</v>
      </c>
      <c r="E2600" s="726">
        <v>42683</v>
      </c>
      <c r="F2600" s="192" t="s">
        <v>1398</v>
      </c>
      <c r="G2600" s="456" t="s">
        <v>1394</v>
      </c>
      <c r="H2600" s="7" t="s">
        <v>1581</v>
      </c>
      <c r="I2600" s="256">
        <v>13</v>
      </c>
      <c r="J2600" s="256">
        <v>6496.0822052004487</v>
      </c>
      <c r="K2600" s="38">
        <f t="shared" si="138"/>
        <v>84449</v>
      </c>
      <c r="L2600" s="566" t="s">
        <v>167</v>
      </c>
      <c r="M2600" s="566" t="s">
        <v>165</v>
      </c>
      <c r="N2600" s="52" t="str">
        <f>IF(AND('331-CT'!$E$7=TH!H2600,OR(L2600="331",M2600="331")),"331",IF(AND(OR(L2600="131",M2600="131"),H2600='131-CT'!$E$7),"131",""))</f>
        <v/>
      </c>
      <c r="O2600" s="857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0"/>
      <c r="AC2600" s="557"/>
      <c r="AD2600" s="557"/>
    </row>
    <row r="2601" spans="1:30" s="211" customFormat="1" ht="15.75" customHeight="1">
      <c r="A2601" s="204" t="str">
        <f>IF(B2601&lt;&gt;"",IF(AND(B2601&gt;=_TM1,B2601&lt;=_TM2,OR(TH!L2602="1111",TH!M2602="1111")),TH!D2602,""),"")</f>
        <v/>
      </c>
      <c r="B2601" s="36">
        <f t="shared" si="136"/>
        <v>11</v>
      </c>
      <c r="C2601" s="184">
        <f t="shared" si="137"/>
        <v>42683</v>
      </c>
      <c r="D2601" s="184" t="s">
        <v>1579</v>
      </c>
      <c r="E2601" s="726">
        <v>42683</v>
      </c>
      <c r="F2601" s="192" t="s">
        <v>1399</v>
      </c>
      <c r="G2601" s="456" t="s">
        <v>1394</v>
      </c>
      <c r="H2601" s="7" t="s">
        <v>1581</v>
      </c>
      <c r="I2601" s="256">
        <v>42</v>
      </c>
      <c r="J2601" s="256">
        <v>19319.51720767406</v>
      </c>
      <c r="K2601" s="38">
        <f t="shared" si="138"/>
        <v>811420</v>
      </c>
      <c r="L2601" s="566" t="s">
        <v>167</v>
      </c>
      <c r="M2601" s="566" t="s">
        <v>165</v>
      </c>
      <c r="N2601" s="52" t="str">
        <f>IF(AND('331-CT'!$E$7=TH!H2601,OR(L2601="331",M2601="331")),"331",IF(AND(OR(L2601="131",M2601="131"),H2601='131-CT'!$E$7),"131",""))</f>
        <v/>
      </c>
      <c r="O2601" s="857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0"/>
      <c r="AC2601" s="557"/>
    </row>
    <row r="2602" spans="1:30" s="211" customFormat="1" ht="15.75" customHeight="1">
      <c r="A2602" s="204" t="str">
        <f>IF(B2602&lt;&gt;"",IF(AND(B2602&gt;=_TM1,B2602&lt;=_TM2,OR(TH!L2603="1111",TH!M2603="1111")),TH!D2603,""),"")</f>
        <v/>
      </c>
      <c r="B2602" s="36">
        <f t="shared" ref="B2602:B2665" si="139">IF(C2602&lt;&gt;"",MONTH(C2602),"")</f>
        <v>11</v>
      </c>
      <c r="C2602" s="184">
        <f t="shared" si="137"/>
        <v>42683</v>
      </c>
      <c r="D2602" s="184" t="s">
        <v>1579</v>
      </c>
      <c r="E2602" s="726">
        <v>42683</v>
      </c>
      <c r="F2602" s="192" t="s">
        <v>1400</v>
      </c>
      <c r="G2602" s="456" t="s">
        <v>1394</v>
      </c>
      <c r="H2602" s="7" t="s">
        <v>1581</v>
      </c>
      <c r="I2602" s="256">
        <v>164</v>
      </c>
      <c r="J2602" s="256">
        <v>1856.0234872001281</v>
      </c>
      <c r="K2602" s="38">
        <f t="shared" si="138"/>
        <v>304388</v>
      </c>
      <c r="L2602" s="566" t="s">
        <v>167</v>
      </c>
      <c r="M2602" s="566" t="s">
        <v>165</v>
      </c>
      <c r="N2602" s="52" t="str">
        <f>IF(AND('331-CT'!$E$7=TH!H2602,OR(L2602="331",M2602="331")),"331",IF(AND(OR(L2602="131",M2602="131"),H2602='131-CT'!$E$7),"131",""))</f>
        <v/>
      </c>
      <c r="O2602" s="857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0"/>
      <c r="AC2602" s="557"/>
      <c r="AD2602" s="557"/>
    </row>
    <row r="2603" spans="1:30" s="211" customFormat="1" ht="15.75" customHeight="1">
      <c r="A2603" s="204" t="str">
        <f>IF(B2603&lt;&gt;"",IF(AND(B2603&gt;=_TM1,B2603&lt;=_TM2,OR(TH!L2604="1111",TH!M2604="1111")),TH!D2604,""),"")</f>
        <v/>
      </c>
      <c r="B2603" s="36">
        <f t="shared" si="139"/>
        <v>11</v>
      </c>
      <c r="C2603" s="184">
        <f t="shared" si="137"/>
        <v>42683</v>
      </c>
      <c r="D2603" s="184" t="s">
        <v>1579</v>
      </c>
      <c r="E2603" s="726">
        <v>42683</v>
      </c>
      <c r="F2603" s="192" t="s">
        <v>1401</v>
      </c>
      <c r="G2603" s="456" t="s">
        <v>1394</v>
      </c>
      <c r="H2603" s="7" t="s">
        <v>1581</v>
      </c>
      <c r="I2603" s="256">
        <v>123</v>
      </c>
      <c r="J2603" s="256">
        <v>1181.1058554909907</v>
      </c>
      <c r="K2603" s="38">
        <f t="shared" si="138"/>
        <v>145276</v>
      </c>
      <c r="L2603" s="566" t="s">
        <v>167</v>
      </c>
      <c r="M2603" s="566" t="s">
        <v>165</v>
      </c>
      <c r="N2603" s="52" t="str">
        <f>IF(AND('331-CT'!$E$7=TH!H2603,OR(L2603="331",M2603="331")),"331",IF(AND(OR(L2603="131",M2603="131"),H2603='131-CT'!$E$7),"131",""))</f>
        <v/>
      </c>
      <c r="O2603" s="857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0"/>
      <c r="AC2603" s="557"/>
      <c r="AD2603" s="557"/>
    </row>
    <row r="2604" spans="1:30" s="211" customFormat="1" ht="15.75" customHeight="1">
      <c r="A2604" s="204" t="str">
        <f>IF(B2604&lt;&gt;"",IF(AND(B2604&gt;=_TM1,B2604&lt;=_TM2,OR(TH!L2605="1111",TH!M2605="1111")),TH!D2605,""),"")</f>
        <v/>
      </c>
      <c r="B2604" s="36">
        <f t="shared" si="139"/>
        <v>11</v>
      </c>
      <c r="C2604" s="184">
        <f t="shared" si="137"/>
        <v>42683</v>
      </c>
      <c r="D2604" s="184" t="s">
        <v>1579</v>
      </c>
      <c r="E2604" s="726">
        <v>42683</v>
      </c>
      <c r="F2604" s="192" t="s">
        <v>1404</v>
      </c>
      <c r="G2604" s="456" t="s">
        <v>1402</v>
      </c>
      <c r="H2604" s="7" t="s">
        <v>1581</v>
      </c>
      <c r="I2604" s="256">
        <v>92</v>
      </c>
      <c r="J2604" s="256">
        <v>9195.7527320369991</v>
      </c>
      <c r="K2604" s="38">
        <f t="shared" si="138"/>
        <v>846009</v>
      </c>
      <c r="L2604" s="566" t="s">
        <v>167</v>
      </c>
      <c r="M2604" s="566" t="s">
        <v>165</v>
      </c>
      <c r="N2604" s="52" t="str">
        <f>IF(AND('331-CT'!$E$7=TH!H2604,OR(L2604="331",M2604="331")),"331",IF(AND(OR(L2604="131",M2604="131"),H2604='131-CT'!$E$7),"131",""))</f>
        <v/>
      </c>
      <c r="O2604" s="857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0"/>
      <c r="AC2604" s="557"/>
    </row>
    <row r="2605" spans="1:30" s="211" customFormat="1" ht="15.75" customHeight="1">
      <c r="A2605" s="204" t="str">
        <f>IF(B2605&lt;&gt;"",IF(AND(B2605&gt;=_TM1,B2605&lt;=_TM2,OR(TH!L2606="1111",TH!M2606="1111")),TH!D2606,""),"")</f>
        <v/>
      </c>
      <c r="B2605" s="36">
        <f t="shared" si="139"/>
        <v>11</v>
      </c>
      <c r="C2605" s="184">
        <f t="shared" si="137"/>
        <v>42683</v>
      </c>
      <c r="D2605" s="184" t="s">
        <v>1579</v>
      </c>
      <c r="E2605" s="726">
        <v>42683</v>
      </c>
      <c r="F2605" s="291" t="s">
        <v>1405</v>
      </c>
      <c r="G2605" s="456" t="s">
        <v>1402</v>
      </c>
      <c r="H2605" s="7" t="s">
        <v>1581</v>
      </c>
      <c r="I2605" s="256">
        <v>52</v>
      </c>
      <c r="J2605" s="256">
        <v>8858.2939161824306</v>
      </c>
      <c r="K2605" s="38">
        <f t="shared" si="138"/>
        <v>460631</v>
      </c>
      <c r="L2605" s="566" t="s">
        <v>167</v>
      </c>
      <c r="M2605" s="566" t="s">
        <v>165</v>
      </c>
      <c r="N2605" s="52" t="str">
        <f>IF(AND('331-CT'!$E$7=TH!H2605,OR(L2605="331",M2605="331")),"331",IF(AND(OR(L2605="131",M2605="131"),H2605='131-CT'!$E$7),"131",""))</f>
        <v/>
      </c>
      <c r="O2605" s="857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0"/>
      <c r="AC2605" s="557"/>
      <c r="AD2605" s="557"/>
    </row>
    <row r="2606" spans="1:30" s="211" customFormat="1" ht="15.75" customHeight="1">
      <c r="A2606" s="204" t="str">
        <f>IF(B2606&lt;&gt;"",IF(AND(B2606&gt;=_TM1,B2606&lt;=_TM2,OR(TH!L2607="1111",TH!M2607="1111")),TH!D2607,""),"")</f>
        <v/>
      </c>
      <c r="B2606" s="36">
        <f t="shared" si="139"/>
        <v>11</v>
      </c>
      <c r="C2606" s="184">
        <f t="shared" si="137"/>
        <v>42683</v>
      </c>
      <c r="D2606" s="184" t="s">
        <v>1579</v>
      </c>
      <c r="E2606" s="726">
        <v>42683</v>
      </c>
      <c r="F2606" s="291" t="s">
        <v>1406</v>
      </c>
      <c r="G2606" s="456" t="s">
        <v>1402</v>
      </c>
      <c r="H2606" s="7" t="s">
        <v>1581</v>
      </c>
      <c r="I2606" s="256">
        <v>192</v>
      </c>
      <c r="J2606" s="256">
        <v>8267.7409884369335</v>
      </c>
      <c r="K2606" s="38">
        <f t="shared" si="138"/>
        <v>1587406</v>
      </c>
      <c r="L2606" s="566" t="s">
        <v>167</v>
      </c>
      <c r="M2606" s="566" t="s">
        <v>165</v>
      </c>
      <c r="N2606" s="52" t="str">
        <f>IF(AND('331-CT'!$E$7=TH!H2606,OR(L2606="331",M2606="331")),"331",IF(AND(OR(L2606="131",M2606="131"),H2606='131-CT'!$E$7),"131",""))</f>
        <v/>
      </c>
      <c r="O2606" s="857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0"/>
      <c r="AC2606" s="557"/>
    </row>
    <row r="2607" spans="1:30" s="211" customFormat="1" ht="15.75" customHeight="1">
      <c r="A2607" s="204" t="str">
        <f>IF(B2607&lt;&gt;"",IF(AND(B2607&gt;=_TM1,B2607&lt;=_TM2,OR(TH!L2608="1111",TH!M2608="1111")),TH!D2608,""),"")</f>
        <v/>
      </c>
      <c r="B2607" s="36">
        <f t="shared" si="139"/>
        <v>11</v>
      </c>
      <c r="C2607" s="184">
        <f t="shared" si="137"/>
        <v>42683</v>
      </c>
      <c r="D2607" s="184" t="s">
        <v>1579</v>
      </c>
      <c r="E2607" s="726">
        <v>42683</v>
      </c>
      <c r="F2607" s="192" t="s">
        <v>1409</v>
      </c>
      <c r="G2607" s="456" t="s">
        <v>1407</v>
      </c>
      <c r="H2607" s="7" t="s">
        <v>1581</v>
      </c>
      <c r="I2607" s="256">
        <v>364</v>
      </c>
      <c r="J2607" s="256">
        <v>9448.8468439279259</v>
      </c>
      <c r="K2607" s="38">
        <f t="shared" si="138"/>
        <v>3439380</v>
      </c>
      <c r="L2607" s="566" t="s">
        <v>167</v>
      </c>
      <c r="M2607" s="566" t="s">
        <v>165</v>
      </c>
      <c r="N2607" s="52" t="str">
        <f>IF(AND('331-CT'!$E$7=TH!H2607,OR(L2607="331",M2607="331")),"331",IF(AND(OR(L2607="131",M2607="131"),H2607='131-CT'!$E$7),"131",""))</f>
        <v/>
      </c>
      <c r="O2607" s="857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0"/>
      <c r="AC2607" s="557"/>
      <c r="AD2607" s="557"/>
    </row>
    <row r="2608" spans="1:30" s="211" customFormat="1" ht="15.75" customHeight="1">
      <c r="A2608" s="204" t="str">
        <f>IF(B2608&lt;&gt;"",IF(AND(B2608&gt;=_TM1,B2608&lt;=_TM2,OR(TH!L2609="1111",TH!M2609="1111")),TH!D2609,""),"")</f>
        <v/>
      </c>
      <c r="B2608" s="36">
        <f t="shared" si="139"/>
        <v>11</v>
      </c>
      <c r="C2608" s="184">
        <f t="shared" si="137"/>
        <v>42683</v>
      </c>
      <c r="D2608" s="184" t="s">
        <v>1579</v>
      </c>
      <c r="E2608" s="726">
        <v>42683</v>
      </c>
      <c r="F2608" s="192" t="s">
        <v>1410</v>
      </c>
      <c r="G2608" s="456" t="s">
        <v>1407</v>
      </c>
      <c r="H2608" s="7" t="s">
        <v>1581</v>
      </c>
      <c r="I2608" s="256">
        <v>20</v>
      </c>
      <c r="J2608" s="256">
        <v>8183.3762844732919</v>
      </c>
      <c r="K2608" s="38">
        <f t="shared" si="138"/>
        <v>163668</v>
      </c>
      <c r="L2608" s="566" t="s">
        <v>167</v>
      </c>
      <c r="M2608" s="566" t="s">
        <v>165</v>
      </c>
      <c r="N2608" s="52" t="str">
        <f>IF(AND('331-CT'!$E$7=TH!H2608,OR(L2608="331",M2608="331")),"331",IF(AND(OR(L2608="131",M2608="131"),H2608='131-CT'!$E$7),"131",""))</f>
        <v/>
      </c>
      <c r="O2608" s="857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0"/>
      <c r="AC2608" s="557"/>
      <c r="AD2608" s="557"/>
    </row>
    <row r="2609" spans="1:30" s="211" customFormat="1" ht="15.75" customHeight="1">
      <c r="A2609" s="204" t="str">
        <f>IF(B2609&lt;&gt;"",IF(AND(B2609&gt;=_TM1,B2609&lt;=_TM2,OR(TH!L2610="1111",TH!M2610="1111")),TH!D2610,""),"")</f>
        <v/>
      </c>
      <c r="B2609" s="36">
        <f t="shared" si="139"/>
        <v>11</v>
      </c>
      <c r="C2609" s="184">
        <f t="shared" si="137"/>
        <v>42684</v>
      </c>
      <c r="D2609" s="184" t="s">
        <v>1579</v>
      </c>
      <c r="E2609" s="726">
        <v>42684</v>
      </c>
      <c r="F2609" s="192" t="s">
        <v>1411</v>
      </c>
      <c r="G2609" s="456" t="s">
        <v>1408</v>
      </c>
      <c r="H2609" s="7" t="s">
        <v>1581</v>
      </c>
      <c r="I2609" s="256">
        <v>200</v>
      </c>
      <c r="J2609" s="256">
        <v>8183.3762844732919</v>
      </c>
      <c r="K2609" s="38">
        <f t="shared" si="138"/>
        <v>1636675</v>
      </c>
      <c r="L2609" s="566" t="s">
        <v>167</v>
      </c>
      <c r="M2609" s="566" t="s">
        <v>165</v>
      </c>
      <c r="N2609" s="52" t="str">
        <f>IF(AND('331-CT'!$E$7=TH!H2609,OR(L2609="331",M2609="331")),"331",IF(AND(OR(L2609="131",M2609="131"),H2609='131-CT'!$E$7),"131",""))</f>
        <v/>
      </c>
      <c r="O2609" s="857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0"/>
      <c r="AC2609" s="557"/>
    </row>
    <row r="2610" spans="1:30" s="211" customFormat="1" ht="15.75" customHeight="1">
      <c r="A2610" s="204" t="str">
        <f>IF(B2610&lt;&gt;"",IF(AND(B2610&gt;=_TM1,B2610&lt;=_TM2,OR(TH!L2611="1111",TH!M2611="1111")),TH!D2611,""),"")</f>
        <v/>
      </c>
      <c r="B2610" s="36">
        <f t="shared" si="139"/>
        <v>11</v>
      </c>
      <c r="C2610" s="184">
        <f t="shared" si="137"/>
        <v>42684</v>
      </c>
      <c r="D2610" s="184" t="s">
        <v>1579</v>
      </c>
      <c r="E2610" s="726">
        <v>42684</v>
      </c>
      <c r="F2610" s="291" t="s">
        <v>1413</v>
      </c>
      <c r="G2610" s="456" t="s">
        <v>1412</v>
      </c>
      <c r="H2610" s="7" t="s">
        <v>1581</v>
      </c>
      <c r="I2610" s="256">
        <v>300</v>
      </c>
      <c r="J2610" s="256">
        <v>8689.5645082551455</v>
      </c>
      <c r="K2610" s="38">
        <f t="shared" si="138"/>
        <v>2606869</v>
      </c>
      <c r="L2610" s="566" t="s">
        <v>167</v>
      </c>
      <c r="M2610" s="566" t="s">
        <v>165</v>
      </c>
      <c r="N2610" s="52" t="str">
        <f>IF(AND('331-CT'!$E$7=TH!H2610,OR(L2610="331",M2610="331")),"331",IF(AND(OR(L2610="131",M2610="131"),H2610='131-CT'!$E$7),"131",""))</f>
        <v/>
      </c>
      <c r="O2610" s="857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0"/>
      <c r="AC2610" s="557"/>
      <c r="AD2610" s="557"/>
    </row>
    <row r="2611" spans="1:30" s="211" customFormat="1" ht="15.75" customHeight="1">
      <c r="A2611" s="204" t="str">
        <f>IF(B2611&lt;&gt;"",IF(AND(B2611&gt;=_TM1,B2611&lt;=_TM2,OR(TH!L2612="1111",TH!M2612="1111")),TH!D2612,""),"")</f>
        <v/>
      </c>
      <c r="B2611" s="36">
        <f t="shared" si="139"/>
        <v>11</v>
      </c>
      <c r="C2611" s="184">
        <f t="shared" si="137"/>
        <v>42684</v>
      </c>
      <c r="D2611" s="184" t="s">
        <v>1579</v>
      </c>
      <c r="E2611" s="726">
        <v>42684</v>
      </c>
      <c r="F2611" s="291" t="s">
        <v>1414</v>
      </c>
      <c r="G2611" s="456" t="s">
        <v>1412</v>
      </c>
      <c r="H2611" s="7" t="s">
        <v>1581</v>
      </c>
      <c r="I2611" s="256">
        <v>35</v>
      </c>
      <c r="J2611" s="256">
        <v>10545.587995455273</v>
      </c>
      <c r="K2611" s="38">
        <f t="shared" si="138"/>
        <v>369096</v>
      </c>
      <c r="L2611" s="566" t="s">
        <v>167</v>
      </c>
      <c r="M2611" s="566" t="s">
        <v>165</v>
      </c>
      <c r="N2611" s="52" t="str">
        <f>IF(AND('331-CT'!$E$7=TH!H2611,OR(L2611="331",M2611="331")),"331",IF(AND(OR(L2611="131",M2611="131"),H2611='131-CT'!$E$7),"131",""))</f>
        <v/>
      </c>
      <c r="O2611" s="857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0"/>
      <c r="AC2611" s="557"/>
    </row>
    <row r="2612" spans="1:30" s="211" customFormat="1" ht="15.75" customHeight="1">
      <c r="A2612" s="204" t="str">
        <f>IF(B2612&lt;&gt;"",IF(AND(B2612&gt;=_TM1,B2612&lt;=_TM2,OR(TH!L2613="1111",TH!M2613="1111")),TH!D2613,""),"")</f>
        <v/>
      </c>
      <c r="B2612" s="36">
        <f t="shared" si="139"/>
        <v>11</v>
      </c>
      <c r="C2612" s="184">
        <f t="shared" si="137"/>
        <v>42684</v>
      </c>
      <c r="D2612" s="184" t="s">
        <v>1579</v>
      </c>
      <c r="E2612" s="726">
        <v>42684</v>
      </c>
      <c r="F2612" s="291" t="s">
        <v>1415</v>
      </c>
      <c r="G2612" s="456" t="s">
        <v>1412</v>
      </c>
      <c r="H2612" s="7" t="s">
        <v>1581</v>
      </c>
      <c r="I2612" s="256">
        <v>37</v>
      </c>
      <c r="J2612" s="256">
        <v>34673.89332905694</v>
      </c>
      <c r="K2612" s="38">
        <f t="shared" si="138"/>
        <v>1282934</v>
      </c>
      <c r="L2612" s="566" t="s">
        <v>167</v>
      </c>
      <c r="M2612" s="566" t="s">
        <v>165</v>
      </c>
      <c r="N2612" s="52" t="str">
        <f>IF(AND('331-CT'!$E$7=TH!H2612,OR(L2612="331",M2612="331")),"331",IF(AND(OR(L2612="131",M2612="131"),H2612='131-CT'!$E$7),"131",""))</f>
        <v/>
      </c>
      <c r="O2612" s="857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0"/>
      <c r="AC2612" s="557"/>
      <c r="AD2612" s="557"/>
    </row>
    <row r="2613" spans="1:30" s="211" customFormat="1" ht="15.75" customHeight="1">
      <c r="A2613" s="204" t="str">
        <f>IF(B2613&lt;&gt;"",IF(AND(B2613&gt;=_TM1,B2613&lt;=_TM2,OR(TH!L2614="1111",TH!M2614="1111")),TH!D2614,""),"")</f>
        <v/>
      </c>
      <c r="B2613" s="36">
        <f t="shared" si="139"/>
        <v>11</v>
      </c>
      <c r="C2613" s="184">
        <f t="shared" si="137"/>
        <v>42684</v>
      </c>
      <c r="D2613" s="184" t="s">
        <v>1579</v>
      </c>
      <c r="E2613" s="726">
        <v>42684</v>
      </c>
      <c r="F2613" s="291" t="s">
        <v>1416</v>
      </c>
      <c r="G2613" s="456" t="s">
        <v>1412</v>
      </c>
      <c r="H2613" s="7" t="s">
        <v>1581</v>
      </c>
      <c r="I2613" s="256">
        <v>85</v>
      </c>
      <c r="J2613" s="256">
        <v>10123.764475637063</v>
      </c>
      <c r="K2613" s="38">
        <f t="shared" si="138"/>
        <v>860520</v>
      </c>
      <c r="L2613" s="566" t="s">
        <v>167</v>
      </c>
      <c r="M2613" s="566" t="s">
        <v>165</v>
      </c>
      <c r="N2613" s="52" t="str">
        <f>IF(AND('331-CT'!$E$7=TH!H2613,OR(L2613="331",M2613="331")),"331",IF(AND(OR(L2613="131",M2613="131"),H2613='131-CT'!$E$7),"131",""))</f>
        <v/>
      </c>
      <c r="O2613" s="857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0"/>
      <c r="AC2613" s="557"/>
    </row>
    <row r="2614" spans="1:30" s="211" customFormat="1" ht="15.75" customHeight="1">
      <c r="A2614" s="204" t="str">
        <f>IF(B2614&lt;&gt;"",IF(AND(B2614&gt;=_TM1,B2614&lt;=_TM2,OR(TH!L2615="1111",TH!M2615="1111")),TH!D2615,""),"")</f>
        <v/>
      </c>
      <c r="B2614" s="36">
        <f t="shared" si="139"/>
        <v>11</v>
      </c>
      <c r="C2614" s="184">
        <f t="shared" si="137"/>
        <v>42684</v>
      </c>
      <c r="D2614" s="184" t="s">
        <v>1579</v>
      </c>
      <c r="E2614" s="726">
        <v>42684</v>
      </c>
      <c r="F2614" s="189" t="s">
        <v>1473</v>
      </c>
      <c r="G2614" s="456" t="s">
        <v>1417</v>
      </c>
      <c r="H2614" s="7" t="s">
        <v>1581</v>
      </c>
      <c r="I2614" s="256">
        <v>300</v>
      </c>
      <c r="J2614" s="256">
        <v>5483.7057576367424</v>
      </c>
      <c r="K2614" s="38">
        <f t="shared" si="138"/>
        <v>1645112</v>
      </c>
      <c r="L2614" s="566" t="s">
        <v>167</v>
      </c>
      <c r="M2614" s="566" t="s">
        <v>165</v>
      </c>
      <c r="N2614" s="52" t="str">
        <f>IF(AND('331-CT'!$E$7=TH!H2614,OR(L2614="331",M2614="331")),"331",IF(AND(OR(L2614="131",M2614="131"),H2614='131-CT'!$E$7),"131",""))</f>
        <v/>
      </c>
      <c r="O2614" s="857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0"/>
      <c r="AC2614" s="557"/>
      <c r="AD2614" s="557"/>
    </row>
    <row r="2615" spans="1:30" s="211" customFormat="1" ht="15.75" customHeight="1">
      <c r="A2615" s="204" t="str">
        <f>IF(B2615&lt;&gt;"",IF(AND(B2615&gt;=_TM1,B2615&lt;=_TM2,OR(TH!L2616="1111",TH!M2616="1111")),TH!D2616,""),"")</f>
        <v/>
      </c>
      <c r="B2615" s="36">
        <f t="shared" si="139"/>
        <v>11</v>
      </c>
      <c r="C2615" s="184">
        <f t="shared" si="137"/>
        <v>42686</v>
      </c>
      <c r="D2615" s="184" t="s">
        <v>1579</v>
      </c>
      <c r="E2615" s="726">
        <v>42686</v>
      </c>
      <c r="F2615" s="189" t="s">
        <v>1419</v>
      </c>
      <c r="G2615" s="456" t="s">
        <v>1418</v>
      </c>
      <c r="H2615" s="7" t="s">
        <v>1581</v>
      </c>
      <c r="I2615" s="703">
        <v>319</v>
      </c>
      <c r="J2615" s="703">
        <v>8099.0115805096493</v>
      </c>
      <c r="K2615" s="38">
        <f t="shared" si="138"/>
        <v>2583585</v>
      </c>
      <c r="L2615" s="566" t="s">
        <v>167</v>
      </c>
      <c r="M2615" s="566" t="s">
        <v>165</v>
      </c>
      <c r="N2615" s="52" t="str">
        <f>IF(AND('331-CT'!$E$7=TH!H2615,OR(L2615="331",M2615="331")),"331",IF(AND(OR(L2615="131",M2615="131"),H2615='131-CT'!$E$7),"131",""))</f>
        <v/>
      </c>
      <c r="O2615" s="857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0"/>
      <c r="AC2615" s="557"/>
    </row>
    <row r="2616" spans="1:30" s="211" customFormat="1" ht="15.75" customHeight="1">
      <c r="A2616" s="204" t="str">
        <f>IF(B2616&lt;&gt;"",IF(AND(B2616&gt;=_TM1,B2616&lt;=_TM2,OR(TH!L2617="1111",TH!M2617="1111")),TH!D2617,""),"")</f>
        <v/>
      </c>
      <c r="B2616" s="36">
        <f t="shared" si="139"/>
        <v>11</v>
      </c>
      <c r="C2616" s="184">
        <f t="shared" si="137"/>
        <v>42688</v>
      </c>
      <c r="D2616" s="184" t="s">
        <v>1579</v>
      </c>
      <c r="E2616" s="726">
        <v>42688</v>
      </c>
      <c r="F2616" s="189" t="s">
        <v>1286</v>
      </c>
      <c r="G2616" s="456" t="s">
        <v>1420</v>
      </c>
      <c r="H2616" s="7" t="s">
        <v>1581</v>
      </c>
      <c r="I2616" s="256">
        <v>980</v>
      </c>
      <c r="J2616" s="256">
        <v>6917.9057250186588</v>
      </c>
      <c r="K2616" s="38">
        <f t="shared" si="138"/>
        <v>6779548</v>
      </c>
      <c r="L2616" s="566" t="s">
        <v>167</v>
      </c>
      <c r="M2616" s="566" t="s">
        <v>165</v>
      </c>
      <c r="N2616" s="52" t="str">
        <f>IF(AND('331-CT'!$E$7=TH!H2616,OR(L2616="331",M2616="331")),"331",IF(AND(OR(L2616="131",M2616="131"),H2616='131-CT'!$E$7),"131",""))</f>
        <v/>
      </c>
      <c r="O2616" s="857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0"/>
      <c r="AC2616" s="557"/>
    </row>
    <row r="2617" spans="1:30" s="211" customFormat="1" ht="15.75" customHeight="1">
      <c r="A2617" s="204" t="str">
        <f>IF(B2617&lt;&gt;"",IF(AND(B2617&gt;=_TM1,B2617&lt;=_TM2,OR(TH!L2618="1111",TH!M2618="1111")),TH!D2618,""),"")</f>
        <v/>
      </c>
      <c r="B2617" s="36">
        <f t="shared" si="139"/>
        <v>11</v>
      </c>
      <c r="C2617" s="184">
        <f t="shared" si="137"/>
        <v>42688</v>
      </c>
      <c r="D2617" s="184" t="s">
        <v>1579</v>
      </c>
      <c r="E2617" s="726">
        <v>42688</v>
      </c>
      <c r="F2617" s="291" t="s">
        <v>1287</v>
      </c>
      <c r="G2617" s="456" t="s">
        <v>1420</v>
      </c>
      <c r="H2617" s="7" t="s">
        <v>1581</v>
      </c>
      <c r="I2617" s="256">
        <v>1066</v>
      </c>
      <c r="J2617" s="256">
        <v>7677.1880606914392</v>
      </c>
      <c r="K2617" s="38">
        <f t="shared" si="138"/>
        <v>8183882</v>
      </c>
      <c r="L2617" s="566" t="s">
        <v>167</v>
      </c>
      <c r="M2617" s="566" t="s">
        <v>165</v>
      </c>
      <c r="N2617" s="52" t="str">
        <f>IF(AND('331-CT'!$E$7=TH!H2617,OR(L2617="331",M2617="331")),"331",IF(AND(OR(L2617="131",M2617="131"),H2617='131-CT'!$E$7),"131",""))</f>
        <v/>
      </c>
      <c r="O2617" s="857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0"/>
      <c r="AC2617" s="557"/>
      <c r="AD2617" s="557"/>
    </row>
    <row r="2618" spans="1:30" s="211" customFormat="1" ht="15.75" customHeight="1">
      <c r="A2618" s="204" t="str">
        <f>IF(B2618&lt;&gt;"",IF(AND(B2618&gt;=_TM1,B2618&lt;=_TM2,OR(TH!L2619="1111",TH!M2619="1111")),TH!D2619,""),"")</f>
        <v/>
      </c>
      <c r="B2618" s="36">
        <f t="shared" si="139"/>
        <v>11</v>
      </c>
      <c r="C2618" s="184">
        <f t="shared" si="137"/>
        <v>42688</v>
      </c>
      <c r="D2618" s="184" t="s">
        <v>1579</v>
      </c>
      <c r="E2618" s="726">
        <v>42688</v>
      </c>
      <c r="F2618" s="291" t="s">
        <v>422</v>
      </c>
      <c r="G2618" s="456" t="s">
        <v>1420</v>
      </c>
      <c r="H2618" s="7" t="s">
        <v>1581</v>
      </c>
      <c r="I2618" s="256">
        <v>560</v>
      </c>
      <c r="J2618" s="256">
        <v>8183.3762844732919</v>
      </c>
      <c r="K2618" s="38">
        <f t="shared" si="138"/>
        <v>4582691</v>
      </c>
      <c r="L2618" s="566" t="s">
        <v>167</v>
      </c>
      <c r="M2618" s="566" t="s">
        <v>165</v>
      </c>
      <c r="N2618" s="52" t="str">
        <f>IF(AND('331-CT'!$E$7=TH!H2618,OR(L2618="331",M2618="331")),"331",IF(AND(OR(L2618="131",M2618="131"),H2618='131-CT'!$E$7),"131",""))</f>
        <v/>
      </c>
      <c r="O2618" s="857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0"/>
      <c r="AC2618" s="557"/>
    </row>
    <row r="2619" spans="1:30" s="211" customFormat="1" ht="15.75" customHeight="1">
      <c r="A2619" s="204" t="str">
        <f>IF(B2619&lt;&gt;"",IF(AND(B2619&gt;=_TM1,B2619&lt;=_TM2,OR(TH!L2620="1111",TH!M2620="1111")),TH!D2620,""),"")</f>
        <v/>
      </c>
      <c r="B2619" s="36">
        <f t="shared" si="139"/>
        <v>11</v>
      </c>
      <c r="C2619" s="184">
        <f t="shared" si="137"/>
        <v>42689</v>
      </c>
      <c r="D2619" s="184" t="s">
        <v>1579</v>
      </c>
      <c r="E2619" s="726">
        <v>42689</v>
      </c>
      <c r="F2619" s="291" t="s">
        <v>1573</v>
      </c>
      <c r="G2619" s="456" t="s">
        <v>1572</v>
      </c>
      <c r="H2619" s="7" t="s">
        <v>1581</v>
      </c>
      <c r="I2619" s="256">
        <v>127</v>
      </c>
      <c r="J2619" s="256">
        <v>14763.823193637383</v>
      </c>
      <c r="K2619" s="38">
        <f t="shared" si="138"/>
        <v>1875006</v>
      </c>
      <c r="L2619" s="566" t="s">
        <v>167</v>
      </c>
      <c r="M2619" s="566" t="s">
        <v>165</v>
      </c>
      <c r="N2619" s="52" t="str">
        <f>IF(AND('331-CT'!$E$7=TH!H2619,OR(L2619="331",M2619="331")),"331",IF(AND(OR(L2619="131",M2619="131"),H2619='131-CT'!$E$7),"131",""))</f>
        <v/>
      </c>
      <c r="O2619" s="857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0"/>
      <c r="AC2619" s="557"/>
      <c r="AD2619" s="557"/>
    </row>
    <row r="2620" spans="1:30" s="211" customFormat="1" ht="15.75" customHeight="1">
      <c r="A2620" s="204" t="str">
        <f>IF(B2620&lt;&gt;"",IF(AND(B2620&gt;=_TM1,B2620&lt;=_TM2,OR(TH!L2621="1111",TH!M2621="1111")),TH!D2621,""),"")</f>
        <v/>
      </c>
      <c r="B2620" s="36">
        <f t="shared" si="139"/>
        <v>11</v>
      </c>
      <c r="C2620" s="184">
        <f t="shared" si="137"/>
        <v>42689</v>
      </c>
      <c r="D2620" s="184" t="s">
        <v>1579</v>
      </c>
      <c r="E2620" s="726">
        <v>42689</v>
      </c>
      <c r="F2620" s="291" t="s">
        <v>1505</v>
      </c>
      <c r="G2620" s="456" t="s">
        <v>1574</v>
      </c>
      <c r="H2620" s="7" t="s">
        <v>1581</v>
      </c>
      <c r="I2620" s="256">
        <v>3900</v>
      </c>
      <c r="J2620" s="256">
        <v>7086.635132945943</v>
      </c>
      <c r="K2620" s="38">
        <f t="shared" si="138"/>
        <v>27637877</v>
      </c>
      <c r="L2620" s="566" t="s">
        <v>167</v>
      </c>
      <c r="M2620" s="566" t="s">
        <v>165</v>
      </c>
      <c r="N2620" s="52" t="str">
        <f>IF(AND('331-CT'!$E$7=TH!H2620,OR(L2620="331",M2620="331")),"331",IF(AND(OR(L2620="131",M2620="131"),H2620='131-CT'!$E$7),"131",""))</f>
        <v/>
      </c>
      <c r="O2620" s="857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0"/>
      <c r="AC2620" s="557"/>
    </row>
    <row r="2621" spans="1:30" s="211" customFormat="1" ht="15.75" customHeight="1">
      <c r="A2621" s="204" t="str">
        <f>IF(B2621&lt;&gt;"",IF(AND(B2621&gt;=_TM1,B2621&lt;=_TM2,OR(TH!L2622="1111",TH!M2622="1111")),TH!D2622,""),"")</f>
        <v/>
      </c>
      <c r="B2621" s="36">
        <f t="shared" si="139"/>
        <v>11</v>
      </c>
      <c r="C2621" s="184">
        <f t="shared" si="137"/>
        <v>42690</v>
      </c>
      <c r="D2621" s="184" t="s">
        <v>1579</v>
      </c>
      <c r="E2621" s="726">
        <v>42690</v>
      </c>
      <c r="F2621" s="291" t="s">
        <v>1478</v>
      </c>
      <c r="G2621" s="456" t="s">
        <v>1421</v>
      </c>
      <c r="H2621" s="7" t="s">
        <v>1581</v>
      </c>
      <c r="I2621" s="256">
        <v>200</v>
      </c>
      <c r="J2621" s="256">
        <v>9870.670363746136</v>
      </c>
      <c r="K2621" s="38">
        <f t="shared" si="138"/>
        <v>1974134</v>
      </c>
      <c r="L2621" s="566" t="s">
        <v>167</v>
      </c>
      <c r="M2621" s="566" t="s">
        <v>165</v>
      </c>
      <c r="N2621" s="52" t="str">
        <f>IF(AND('331-CT'!$E$7=TH!H2621,OR(L2621="331",M2621="331")),"331",IF(AND(OR(L2621="131",M2621="131"),H2621='131-CT'!$E$7),"131",""))</f>
        <v/>
      </c>
      <c r="O2621" s="857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0"/>
      <c r="AC2621" s="557"/>
      <c r="AD2621" s="557"/>
    </row>
    <row r="2622" spans="1:30" s="211" customFormat="1" ht="15.75" customHeight="1">
      <c r="A2622" s="204" t="str">
        <f>IF(B2622&lt;&gt;"",IF(AND(B2622&gt;=_TM1,B2622&lt;=_TM2,OR(TH!L2623="1111",TH!M2623="1111")),TH!D2623,""),"")</f>
        <v/>
      </c>
      <c r="B2622" s="36">
        <f t="shared" si="139"/>
        <v>11</v>
      </c>
      <c r="C2622" s="184">
        <f t="shared" si="137"/>
        <v>42691</v>
      </c>
      <c r="D2622" s="184" t="s">
        <v>1579</v>
      </c>
      <c r="E2622" s="726">
        <v>42691</v>
      </c>
      <c r="F2622" s="291" t="s">
        <v>1423</v>
      </c>
      <c r="G2622" s="456" t="s">
        <v>1422</v>
      </c>
      <c r="H2622" s="7" t="s">
        <v>1581</v>
      </c>
      <c r="I2622" s="256">
        <v>509</v>
      </c>
      <c r="J2622" s="256">
        <v>7508.458652764155</v>
      </c>
      <c r="K2622" s="38">
        <f t="shared" si="138"/>
        <v>3821805</v>
      </c>
      <c r="L2622" s="566" t="s">
        <v>167</v>
      </c>
      <c r="M2622" s="566" t="s">
        <v>165</v>
      </c>
      <c r="N2622" s="52" t="str">
        <f>IF(AND('331-CT'!$E$7=TH!H2622,OR(L2622="331",M2622="331")),"331",IF(AND(OR(L2622="131",M2622="131"),H2622='131-CT'!$E$7),"131",""))</f>
        <v/>
      </c>
      <c r="O2622" s="857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0"/>
      <c r="AC2622" s="557"/>
    </row>
    <row r="2623" spans="1:30" s="211" customFormat="1" ht="15.75" customHeight="1">
      <c r="A2623" s="204" t="str">
        <f>IF(B2623&lt;&gt;"",IF(AND(B2623&gt;=_TM1,B2623&lt;=_TM2,OR(TH!L2624="1111",TH!M2624="1111")),TH!D2624,""),"")</f>
        <v/>
      </c>
      <c r="B2623" s="36">
        <f t="shared" si="139"/>
        <v>11</v>
      </c>
      <c r="C2623" s="184">
        <f t="shared" si="137"/>
        <v>42691</v>
      </c>
      <c r="D2623" s="184" t="s">
        <v>1579</v>
      </c>
      <c r="E2623" s="726">
        <v>42691</v>
      </c>
      <c r="F2623" s="291" t="s">
        <v>1424</v>
      </c>
      <c r="G2623" s="456" t="s">
        <v>1422</v>
      </c>
      <c r="H2623" s="7" t="s">
        <v>1581</v>
      </c>
      <c r="I2623" s="256">
        <v>208</v>
      </c>
      <c r="J2623" s="256">
        <v>8183.3762844732919</v>
      </c>
      <c r="K2623" s="38">
        <f t="shared" si="138"/>
        <v>1702142</v>
      </c>
      <c r="L2623" s="566" t="s">
        <v>167</v>
      </c>
      <c r="M2623" s="566" t="s">
        <v>165</v>
      </c>
      <c r="N2623" s="52" t="str">
        <f>IF(AND('331-CT'!$E$7=TH!H2623,OR(L2623="331",M2623="331")),"331",IF(AND(OR(L2623="131",M2623="131"),H2623='131-CT'!$E$7),"131",""))</f>
        <v/>
      </c>
      <c r="O2623" s="857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0"/>
      <c r="AC2623" s="557"/>
      <c r="AD2623" s="557"/>
    </row>
    <row r="2624" spans="1:30" s="211" customFormat="1" ht="15.75" customHeight="1">
      <c r="A2624" s="204" t="str">
        <f>IF(B2624&lt;&gt;"",IF(AND(B2624&gt;=_TM1,B2624&lt;=_TM2,OR(TH!L2625="1111",TH!M2625="1111")),TH!D2625,""),"")</f>
        <v/>
      </c>
      <c r="B2624" s="36">
        <f t="shared" si="139"/>
        <v>11</v>
      </c>
      <c r="C2624" s="184">
        <f t="shared" si="137"/>
        <v>42691</v>
      </c>
      <c r="D2624" s="184" t="s">
        <v>1579</v>
      </c>
      <c r="E2624" s="726">
        <v>42691</v>
      </c>
      <c r="F2624" s="291" t="s">
        <v>1425</v>
      </c>
      <c r="G2624" s="456" t="s">
        <v>1422</v>
      </c>
      <c r="H2624" s="7" t="s">
        <v>1581</v>
      </c>
      <c r="I2624" s="256">
        <v>205</v>
      </c>
      <c r="J2624" s="256">
        <v>8942.6586201460723</v>
      </c>
      <c r="K2624" s="38">
        <f t="shared" si="138"/>
        <v>1833245</v>
      </c>
      <c r="L2624" s="566" t="s">
        <v>167</v>
      </c>
      <c r="M2624" s="566" t="s">
        <v>165</v>
      </c>
      <c r="N2624" s="52" t="str">
        <f>IF(AND('331-CT'!$E$7=TH!H2624,OR(L2624="331",M2624="331")),"331",IF(AND(OR(L2624="131",M2624="131"),H2624='131-CT'!$E$7),"131",""))</f>
        <v/>
      </c>
      <c r="O2624" s="857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0"/>
      <c r="AC2624" s="557"/>
    </row>
    <row r="2625" spans="1:30" s="211" customFormat="1" ht="15.75" customHeight="1">
      <c r="A2625" s="204" t="str">
        <f>IF(B2625&lt;&gt;"",IF(AND(B2625&gt;=_TM1,B2625&lt;=_TM2,OR(TH!L2626="1111",TH!M2626="1111")),TH!D2626,""),"")</f>
        <v/>
      </c>
      <c r="B2625" s="36">
        <f t="shared" si="139"/>
        <v>11</v>
      </c>
      <c r="C2625" s="184">
        <f t="shared" si="137"/>
        <v>42692</v>
      </c>
      <c r="D2625" s="184" t="s">
        <v>1579</v>
      </c>
      <c r="E2625" s="726">
        <v>42692</v>
      </c>
      <c r="F2625" s="291" t="s">
        <v>562</v>
      </c>
      <c r="G2625" s="456" t="s">
        <v>1427</v>
      </c>
      <c r="H2625" s="7" t="s">
        <v>1581</v>
      </c>
      <c r="I2625" s="256">
        <v>500</v>
      </c>
      <c r="J2625" s="256">
        <v>19488.246615601347</v>
      </c>
      <c r="K2625" s="38">
        <f t="shared" si="138"/>
        <v>9744123</v>
      </c>
      <c r="L2625" s="566" t="s">
        <v>167</v>
      </c>
      <c r="M2625" s="566" t="s">
        <v>165</v>
      </c>
      <c r="N2625" s="52" t="str">
        <f>IF(AND('331-CT'!$E$7=TH!H2625,OR(L2625="331",M2625="331")),"331",IF(AND(OR(L2625="131",M2625="131"),H2625='131-CT'!$E$7),"131",""))</f>
        <v/>
      </c>
      <c r="O2625" s="857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0"/>
      <c r="AC2625" s="557"/>
      <c r="AD2625" s="557"/>
    </row>
    <row r="2626" spans="1:30" s="211" customFormat="1" ht="15.75" customHeight="1">
      <c r="A2626" s="204" t="str">
        <f>IF(B2626&lt;&gt;"",IF(AND(B2626&gt;=_TM1,B2626&lt;=_TM2,OR(TH!L2627="1111",TH!M2627="1111")),TH!D2627,""),"")</f>
        <v/>
      </c>
      <c r="B2626" s="36">
        <f t="shared" si="139"/>
        <v>11</v>
      </c>
      <c r="C2626" s="184">
        <f t="shared" si="137"/>
        <v>42696</v>
      </c>
      <c r="D2626" s="184" t="s">
        <v>1579</v>
      </c>
      <c r="E2626" s="726">
        <v>42696</v>
      </c>
      <c r="F2626" s="291" t="s">
        <v>954</v>
      </c>
      <c r="G2626" s="456" t="s">
        <v>1428</v>
      </c>
      <c r="H2626" s="7" t="s">
        <v>1581</v>
      </c>
      <c r="I2626" s="256">
        <v>135</v>
      </c>
      <c r="J2626" s="256">
        <v>11304.870331128053</v>
      </c>
      <c r="K2626" s="38">
        <f t="shared" si="138"/>
        <v>1526157</v>
      </c>
      <c r="L2626" s="566" t="s">
        <v>167</v>
      </c>
      <c r="M2626" s="566" t="s">
        <v>165</v>
      </c>
      <c r="N2626" s="52" t="str">
        <f>IF(AND('331-CT'!$E$7=TH!H2626,OR(L2626="331",M2626="331")),"331",IF(AND(OR(L2626="131",M2626="131"),H2626='131-CT'!$E$7),"131",""))</f>
        <v/>
      </c>
      <c r="O2626" s="857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0"/>
      <c r="AC2626" s="557"/>
    </row>
    <row r="2627" spans="1:30" s="211" customFormat="1" ht="15.75" customHeight="1">
      <c r="A2627" s="204" t="str">
        <f>IF(B2627&lt;&gt;"",IF(AND(B2627&gt;=_TM1,B2627&lt;=_TM2,OR(TH!L2628="1111",TH!M2628="1111")),TH!D2628,""),"")</f>
        <v/>
      </c>
      <c r="B2627" s="36">
        <f t="shared" si="139"/>
        <v>11</v>
      </c>
      <c r="C2627" s="184">
        <f t="shared" si="137"/>
        <v>42696</v>
      </c>
      <c r="D2627" s="184" t="s">
        <v>1579</v>
      </c>
      <c r="E2627" s="726">
        <v>42696</v>
      </c>
      <c r="F2627" s="189" t="s">
        <v>1465</v>
      </c>
      <c r="G2627" s="456" t="s">
        <v>1429</v>
      </c>
      <c r="H2627" s="7" t="s">
        <v>1581</v>
      </c>
      <c r="I2627" s="256">
        <v>300</v>
      </c>
      <c r="J2627" s="256">
        <v>8605.1998042915038</v>
      </c>
      <c r="K2627" s="38">
        <f t="shared" si="138"/>
        <v>2581560</v>
      </c>
      <c r="L2627" s="566" t="s">
        <v>167</v>
      </c>
      <c r="M2627" s="566" t="s">
        <v>165</v>
      </c>
      <c r="N2627" s="52" t="str">
        <f>IF(AND('331-CT'!$E$7=TH!H2627,OR(L2627="331",M2627="331")),"331",IF(AND(OR(L2627="131",M2627="131"),H2627='131-CT'!$E$7),"131",""))</f>
        <v/>
      </c>
      <c r="O2627" s="857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0"/>
      <c r="AC2627" s="557"/>
      <c r="AD2627" s="557"/>
    </row>
    <row r="2628" spans="1:30" s="211" customFormat="1" ht="15.75" customHeight="1">
      <c r="A2628" s="204" t="str">
        <f>IF(B2628&lt;&gt;"",IF(AND(B2628&gt;=_TM1,B2628&lt;=_TM2,OR(TH!L2629="1111",TH!M2629="1111")),TH!D2629,""),"")</f>
        <v/>
      </c>
      <c r="B2628" s="36">
        <f t="shared" si="139"/>
        <v>11</v>
      </c>
      <c r="C2628" s="184">
        <f t="shared" si="137"/>
        <v>42697</v>
      </c>
      <c r="D2628" s="184" t="s">
        <v>1579</v>
      </c>
      <c r="E2628" s="726">
        <v>42697</v>
      </c>
      <c r="F2628" s="189" t="s">
        <v>1432</v>
      </c>
      <c r="G2628" s="456" t="s">
        <v>1430</v>
      </c>
      <c r="H2628" s="7" t="s">
        <v>1581</v>
      </c>
      <c r="I2628" s="256">
        <v>10170</v>
      </c>
      <c r="J2628" s="256">
        <v>6580.4469091640904</v>
      </c>
      <c r="K2628" s="38">
        <f t="shared" si="138"/>
        <v>66923145</v>
      </c>
      <c r="L2628" s="566" t="s">
        <v>167</v>
      </c>
      <c r="M2628" s="566" t="s">
        <v>165</v>
      </c>
      <c r="N2628" s="52" t="str">
        <f>IF(AND('331-CT'!$E$7=TH!H2628,OR(L2628="331",M2628="331")),"331",IF(AND(OR(L2628="131",M2628="131"),H2628='131-CT'!$E$7),"131",""))</f>
        <v/>
      </c>
      <c r="O2628" s="857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0"/>
      <c r="AC2628" s="557"/>
    </row>
    <row r="2629" spans="1:30" s="211" customFormat="1" ht="15.75" customHeight="1">
      <c r="A2629" s="204" t="str">
        <f>IF(B2629&lt;&gt;"",IF(AND(B2629&gt;=_TM1,B2629&lt;=_TM2,OR(TH!L2630="1111",TH!M2630="1111")),TH!D2630,""),"")</f>
        <v/>
      </c>
      <c r="B2629" s="36">
        <f t="shared" si="139"/>
        <v>11</v>
      </c>
      <c r="C2629" s="184">
        <f t="shared" si="137"/>
        <v>42697</v>
      </c>
      <c r="D2629" s="184" t="s">
        <v>1579</v>
      </c>
      <c r="E2629" s="726">
        <v>42697</v>
      </c>
      <c r="F2629" s="189" t="s">
        <v>1286</v>
      </c>
      <c r="G2629" s="456" t="s">
        <v>1433</v>
      </c>
      <c r="H2629" s="7" t="s">
        <v>1581</v>
      </c>
      <c r="I2629" s="256">
        <v>637</v>
      </c>
      <c r="J2629" s="256">
        <v>6917.9057250186588</v>
      </c>
      <c r="K2629" s="38">
        <f t="shared" si="138"/>
        <v>4406706</v>
      </c>
      <c r="L2629" s="566" t="s">
        <v>167</v>
      </c>
      <c r="M2629" s="566" t="s">
        <v>165</v>
      </c>
      <c r="N2629" s="52" t="str">
        <f>IF(AND('331-CT'!$E$7=TH!H2629,OR(L2629="331",M2629="331")),"331",IF(AND(OR(L2629="131",M2629="131"),H2629='131-CT'!$E$7),"131",""))</f>
        <v/>
      </c>
      <c r="O2629" s="857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0"/>
      <c r="AC2629" s="557"/>
    </row>
    <row r="2630" spans="1:30" s="211" customFormat="1" ht="15.75" customHeight="1">
      <c r="A2630" s="204" t="str">
        <f>IF(B2630&lt;&gt;"",IF(AND(B2630&gt;=_TM1,B2630&lt;=_TM2,OR(TH!L2631="1111",TH!M2631="1111")),TH!D2631,""),"")</f>
        <v/>
      </c>
      <c r="B2630" s="36">
        <f t="shared" si="139"/>
        <v>11</v>
      </c>
      <c r="C2630" s="184">
        <f t="shared" si="137"/>
        <v>42697</v>
      </c>
      <c r="D2630" s="184" t="s">
        <v>1579</v>
      </c>
      <c r="E2630" s="726">
        <v>42697</v>
      </c>
      <c r="F2630" s="291" t="s">
        <v>1434</v>
      </c>
      <c r="G2630" s="456" t="s">
        <v>1433</v>
      </c>
      <c r="H2630" s="7" t="s">
        <v>1581</v>
      </c>
      <c r="I2630" s="256">
        <v>469</v>
      </c>
      <c r="J2630" s="256">
        <v>13498.352634182751</v>
      </c>
      <c r="K2630" s="38">
        <f t="shared" si="138"/>
        <v>6330727</v>
      </c>
      <c r="L2630" s="566" t="s">
        <v>167</v>
      </c>
      <c r="M2630" s="566" t="s">
        <v>165</v>
      </c>
      <c r="N2630" s="52" t="str">
        <f>IF(AND('331-CT'!$E$7=TH!H2630,OR(L2630="331",M2630="331")),"331",IF(AND(OR(L2630="131",M2630="131"),H2630='131-CT'!$E$7),"131",""))</f>
        <v/>
      </c>
      <c r="O2630" s="857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0"/>
      <c r="AC2630" s="557"/>
      <c r="AD2630" s="557"/>
    </row>
    <row r="2631" spans="1:30" s="211" customFormat="1" ht="15.75" customHeight="1">
      <c r="A2631" s="204" t="str">
        <f>IF(B2631&lt;&gt;"",IF(AND(B2631&gt;=_TM1,B2631&lt;=_TM2,OR(TH!L2632="1111",TH!M2632="1111")),TH!D2632,""),"")</f>
        <v/>
      </c>
      <c r="B2631" s="36">
        <f t="shared" si="139"/>
        <v>11</v>
      </c>
      <c r="C2631" s="184">
        <f t="shared" si="137"/>
        <v>42699</v>
      </c>
      <c r="D2631" s="184" t="s">
        <v>1579</v>
      </c>
      <c r="E2631" s="726">
        <v>42699</v>
      </c>
      <c r="F2631" s="291" t="s">
        <v>1474</v>
      </c>
      <c r="G2631" s="456" t="s">
        <v>1435</v>
      </c>
      <c r="H2631" s="7" t="s">
        <v>1581</v>
      </c>
      <c r="I2631" s="256">
        <v>520</v>
      </c>
      <c r="J2631" s="256">
        <v>8014.6468765460077</v>
      </c>
      <c r="K2631" s="38">
        <f t="shared" si="138"/>
        <v>4167616</v>
      </c>
      <c r="L2631" s="566" t="s">
        <v>167</v>
      </c>
      <c r="M2631" s="566" t="s">
        <v>165</v>
      </c>
      <c r="N2631" s="52" t="str">
        <f>IF(AND('331-CT'!$E$7=TH!H2631,OR(L2631="331",M2631="331")),"331",IF(AND(OR(L2631="131",M2631="131"),H2631='131-CT'!$E$7),"131",""))</f>
        <v/>
      </c>
      <c r="O2631" s="857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0"/>
      <c r="AC2631" s="557"/>
    </row>
    <row r="2632" spans="1:30" s="211" customFormat="1" ht="15.75" customHeight="1">
      <c r="A2632" s="204" t="str">
        <f>IF(B2632&lt;&gt;"",IF(AND(B2632&gt;=_TM1,B2632&lt;=_TM2,OR(TH!L2633="1111",TH!M2633="1111")),TH!D2633,""),"")</f>
        <v/>
      </c>
      <c r="B2632" s="36">
        <f t="shared" si="139"/>
        <v>11</v>
      </c>
      <c r="C2632" s="184">
        <f t="shared" si="137"/>
        <v>42699</v>
      </c>
      <c r="D2632" s="184" t="s">
        <v>1579</v>
      </c>
      <c r="E2632" s="726">
        <v>42699</v>
      </c>
      <c r="F2632" s="291" t="s">
        <v>1474</v>
      </c>
      <c r="G2632" s="456" t="s">
        <v>1435</v>
      </c>
      <c r="H2632" s="7" t="s">
        <v>1581</v>
      </c>
      <c r="I2632" s="256">
        <v>506</v>
      </c>
      <c r="J2632" s="256">
        <v>8014.6468765460077</v>
      </c>
      <c r="K2632" s="38">
        <f t="shared" si="138"/>
        <v>4055411</v>
      </c>
      <c r="L2632" s="566" t="s">
        <v>167</v>
      </c>
      <c r="M2632" s="566" t="s">
        <v>165</v>
      </c>
      <c r="N2632" s="52" t="str">
        <f>IF(AND('331-CT'!$E$7=TH!H2632,OR(L2632="331",M2632="331")),"331",IF(AND(OR(L2632="131",M2632="131"),H2632='131-CT'!$E$7),"131",""))</f>
        <v/>
      </c>
      <c r="O2632" s="857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0"/>
      <c r="AC2632" s="557"/>
    </row>
    <row r="2633" spans="1:30" s="211" customFormat="1" ht="15.75" customHeight="1">
      <c r="A2633" s="204" t="str">
        <f>IF(B2633&lt;&gt;"",IF(AND(B2633&gt;=_TM1,B2633&lt;=_TM2,OR(TH!L2634="1111",TH!M2634="1111")),TH!D2634,""),"")</f>
        <v/>
      </c>
      <c r="B2633" s="36">
        <f t="shared" si="139"/>
        <v>11</v>
      </c>
      <c r="C2633" s="184">
        <f t="shared" si="137"/>
        <v>42699</v>
      </c>
      <c r="D2633" s="184" t="s">
        <v>1579</v>
      </c>
      <c r="E2633" s="726">
        <v>42699</v>
      </c>
      <c r="F2633" s="291" t="s">
        <v>1409</v>
      </c>
      <c r="G2633" s="456" t="s">
        <v>1436</v>
      </c>
      <c r="H2633" s="7" t="s">
        <v>1581</v>
      </c>
      <c r="I2633" s="256">
        <v>131</v>
      </c>
      <c r="J2633" s="256">
        <v>9448.8468439279259</v>
      </c>
      <c r="K2633" s="38">
        <f t="shared" si="138"/>
        <v>1237799</v>
      </c>
      <c r="L2633" s="566" t="s">
        <v>167</v>
      </c>
      <c r="M2633" s="566" t="s">
        <v>165</v>
      </c>
      <c r="N2633" s="52" t="str">
        <f>IF(AND('331-CT'!$E$7=TH!H2633,OR(L2633="331",M2633="331")),"331",IF(AND(OR(L2633="131",M2633="131"),H2633='131-CT'!$E$7),"131",""))</f>
        <v/>
      </c>
      <c r="O2633" s="857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0"/>
      <c r="AC2633" s="557"/>
      <c r="AD2633" s="557"/>
    </row>
    <row r="2634" spans="1:30" s="211" customFormat="1" ht="15.75" customHeight="1">
      <c r="A2634" s="204" t="str">
        <f>IF(B2634&lt;&gt;"",IF(AND(B2634&gt;=_TM1,B2634&lt;=_TM2,OR(TH!L2635="1111",TH!M2635="1111")),TH!D2635,""),"")</f>
        <v/>
      </c>
      <c r="B2634" s="36">
        <f t="shared" si="139"/>
        <v>11</v>
      </c>
      <c r="C2634" s="184">
        <f t="shared" si="137"/>
        <v>42699</v>
      </c>
      <c r="D2634" s="184" t="s">
        <v>1579</v>
      </c>
      <c r="E2634" s="726">
        <v>42699</v>
      </c>
      <c r="F2634" s="291" t="s">
        <v>1437</v>
      </c>
      <c r="G2634" s="456" t="s">
        <v>1436</v>
      </c>
      <c r="H2634" s="7" t="s">
        <v>1581</v>
      </c>
      <c r="I2634" s="256">
        <v>156</v>
      </c>
      <c r="J2634" s="256">
        <v>7845.9174686187234</v>
      </c>
      <c r="K2634" s="38">
        <f t="shared" si="138"/>
        <v>1223963</v>
      </c>
      <c r="L2634" s="566" t="s">
        <v>167</v>
      </c>
      <c r="M2634" s="566" t="s">
        <v>165</v>
      </c>
      <c r="N2634" s="52" t="str">
        <f>IF(AND('331-CT'!$E$7=TH!H2634,OR(L2634="331",M2634="331")),"331",IF(AND(OR(L2634="131",M2634="131"),H2634='131-CT'!$E$7),"131",""))</f>
        <v/>
      </c>
      <c r="O2634" s="857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0"/>
      <c r="AC2634" s="557"/>
    </row>
    <row r="2635" spans="1:30" s="211" customFormat="1" ht="15.75" customHeight="1">
      <c r="A2635" s="204" t="str">
        <f>IF(B2635&lt;&gt;"",IF(AND(B2635&gt;=_TM1,B2635&lt;=_TM2,OR(TH!L2636="1111",TH!M2636="1111")),TH!D2636,""),"")</f>
        <v/>
      </c>
      <c r="B2635" s="36">
        <f t="shared" si="139"/>
        <v>11</v>
      </c>
      <c r="C2635" s="184">
        <f t="shared" ref="C2635:C2686" si="140">E2635</f>
        <v>42699</v>
      </c>
      <c r="D2635" s="184" t="s">
        <v>1579</v>
      </c>
      <c r="E2635" s="726">
        <v>42699</v>
      </c>
      <c r="F2635" s="291" t="s">
        <v>1439</v>
      </c>
      <c r="G2635" s="456" t="s">
        <v>1438</v>
      </c>
      <c r="H2635" s="7" t="s">
        <v>1581</v>
      </c>
      <c r="I2635" s="256">
        <v>23</v>
      </c>
      <c r="J2635" s="256">
        <v>10208.129179600704</v>
      </c>
      <c r="K2635" s="38">
        <f t="shared" si="138"/>
        <v>234787</v>
      </c>
      <c r="L2635" s="566" t="s">
        <v>167</v>
      </c>
      <c r="M2635" s="566" t="s">
        <v>165</v>
      </c>
      <c r="N2635" s="52" t="str">
        <f>IF(AND('331-CT'!$E$7=TH!H2635,OR(L2635="331",M2635="331")),"331",IF(AND(OR(L2635="131",M2635="131"),H2635='131-CT'!$E$7),"131",""))</f>
        <v/>
      </c>
      <c r="O2635" s="857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0"/>
      <c r="AC2635" s="557"/>
    </row>
    <row r="2636" spans="1:30" s="211" customFormat="1" ht="15.75" customHeight="1">
      <c r="A2636" s="204" t="str">
        <f>IF(B2636&lt;&gt;"",IF(AND(B2636&gt;=_TM1,B2636&lt;=_TM2,OR(TH!L2637="1111",TH!M2637="1111")),TH!D2637,""),"")</f>
        <v/>
      </c>
      <c r="B2636" s="36">
        <f t="shared" si="139"/>
        <v>11</v>
      </c>
      <c r="C2636" s="184">
        <f t="shared" si="140"/>
        <v>42699</v>
      </c>
      <c r="D2636" s="184" t="s">
        <v>1579</v>
      </c>
      <c r="E2636" s="726">
        <v>42699</v>
      </c>
      <c r="F2636" s="291" t="s">
        <v>1440</v>
      </c>
      <c r="G2636" s="456" t="s">
        <v>1438</v>
      </c>
      <c r="H2636" s="7" t="s">
        <v>1581</v>
      </c>
      <c r="I2636" s="256">
        <v>500</v>
      </c>
      <c r="J2636" s="256">
        <v>8942.6586201460723</v>
      </c>
      <c r="K2636" s="38">
        <f t="shared" si="138"/>
        <v>4471329</v>
      </c>
      <c r="L2636" s="566" t="s">
        <v>167</v>
      </c>
      <c r="M2636" s="566" t="s">
        <v>165</v>
      </c>
      <c r="N2636" s="52" t="str">
        <f>IF(AND('331-CT'!$E$7=TH!H2636,OR(L2636="331",M2636="331")),"331",IF(AND(OR(L2636="131",M2636="131"),H2636='131-CT'!$E$7),"131",""))</f>
        <v/>
      </c>
      <c r="O2636" s="857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0"/>
      <c r="AC2636" s="557"/>
      <c r="AD2636" s="557"/>
    </row>
    <row r="2637" spans="1:30" s="211" customFormat="1" ht="15.75" customHeight="1">
      <c r="A2637" s="204" t="str">
        <f>IF(B2637&lt;&gt;"",IF(AND(B2637&gt;=_TM1,B2637&lt;=_TM2,OR(TH!L2638="1111",TH!M2638="1111")),TH!D2638,""),"")</f>
        <v/>
      </c>
      <c r="B2637" s="36">
        <f t="shared" si="139"/>
        <v>11</v>
      </c>
      <c r="C2637" s="184">
        <f t="shared" si="140"/>
        <v>42700</v>
      </c>
      <c r="D2637" s="184" t="s">
        <v>1579</v>
      </c>
      <c r="E2637" s="726">
        <v>42700</v>
      </c>
      <c r="F2637" s="291" t="s">
        <v>1477</v>
      </c>
      <c r="G2637" s="456" t="s">
        <v>1445</v>
      </c>
      <c r="H2637" s="7" t="s">
        <v>1581</v>
      </c>
      <c r="I2637" s="256">
        <v>200</v>
      </c>
      <c r="J2637" s="256">
        <v>17632.223128401216</v>
      </c>
      <c r="K2637" s="38">
        <f t="shared" si="138"/>
        <v>3526445</v>
      </c>
      <c r="L2637" s="566" t="s">
        <v>167</v>
      </c>
      <c r="M2637" s="566" t="s">
        <v>165</v>
      </c>
      <c r="N2637" s="52" t="str">
        <f>IF(AND('331-CT'!$E$7=TH!H2637,OR(L2637="331",M2637="331")),"331",IF(AND(OR(L2637="131",M2637="131"),H2637='131-CT'!$E$7),"131",""))</f>
        <v/>
      </c>
      <c r="O2637" s="857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0"/>
      <c r="AC2637" s="557"/>
    </row>
    <row r="2638" spans="1:30" s="211" customFormat="1" ht="15.75" customHeight="1">
      <c r="A2638" s="204" t="str">
        <f>IF(B2638&lt;&gt;"",IF(AND(B2638&gt;=_TM1,B2638&lt;=_TM2,OR(TH!L2639="1111",TH!M2639="1111")),TH!D2639,""),"")</f>
        <v/>
      </c>
      <c r="B2638" s="36">
        <f t="shared" si="139"/>
        <v>11</v>
      </c>
      <c r="C2638" s="184">
        <f t="shared" si="140"/>
        <v>42700</v>
      </c>
      <c r="D2638" s="184" t="s">
        <v>1579</v>
      </c>
      <c r="E2638" s="726">
        <v>42700</v>
      </c>
      <c r="F2638" s="291" t="s">
        <v>1366</v>
      </c>
      <c r="G2638" s="456" t="s">
        <v>841</v>
      </c>
      <c r="H2638" s="7" t="s">
        <v>1581</v>
      </c>
      <c r="I2638" s="256">
        <v>259</v>
      </c>
      <c r="J2638" s="256">
        <v>7845.9174686187234</v>
      </c>
      <c r="K2638" s="38">
        <f t="shared" si="138"/>
        <v>2032093</v>
      </c>
      <c r="L2638" s="566" t="s">
        <v>167</v>
      </c>
      <c r="M2638" s="566" t="s">
        <v>165</v>
      </c>
      <c r="N2638" s="52" t="str">
        <f>IF(AND('331-CT'!$E$7=TH!H2638,OR(L2638="331",M2638="331")),"331",IF(AND(OR(L2638="131",M2638="131"),H2638='131-CT'!$E$7),"131",""))</f>
        <v/>
      </c>
      <c r="O2638" s="857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0"/>
      <c r="AC2638" s="557"/>
    </row>
    <row r="2639" spans="1:30" s="211" customFormat="1" ht="15.75" customHeight="1">
      <c r="A2639" s="204" t="str">
        <f>IF(B2639&lt;&gt;"",IF(AND(B2639&gt;=_TM1,B2639&lt;=_TM2,OR(TH!L2640="1111",TH!M2640="1111")),TH!D2640,""),"")</f>
        <v/>
      </c>
      <c r="B2639" s="36">
        <f t="shared" si="139"/>
        <v>11</v>
      </c>
      <c r="C2639" s="184">
        <f t="shared" si="140"/>
        <v>42700</v>
      </c>
      <c r="D2639" s="184" t="s">
        <v>1579</v>
      </c>
      <c r="E2639" s="726">
        <v>42700</v>
      </c>
      <c r="F2639" s="291" t="s">
        <v>1446</v>
      </c>
      <c r="G2639" s="456" t="s">
        <v>841</v>
      </c>
      <c r="H2639" s="7" t="s">
        <v>1581</v>
      </c>
      <c r="I2639" s="256">
        <v>286</v>
      </c>
      <c r="J2639" s="256">
        <v>12401.611482655402</v>
      </c>
      <c r="K2639" s="38">
        <f t="shared" si="138"/>
        <v>3546861</v>
      </c>
      <c r="L2639" s="566" t="s">
        <v>167</v>
      </c>
      <c r="M2639" s="566" t="s">
        <v>165</v>
      </c>
      <c r="N2639" s="52" t="str">
        <f>IF(AND('331-CT'!$E$7=TH!H2639,OR(L2639="331",M2639="331")),"331",IF(AND(OR(L2639="131",M2639="131"),H2639='131-CT'!$E$7),"131",""))</f>
        <v/>
      </c>
      <c r="O2639" s="857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0"/>
    </row>
    <row r="2640" spans="1:30" s="211" customFormat="1" ht="15.75" customHeight="1">
      <c r="A2640" s="204" t="str">
        <f>IF(B2640&lt;&gt;"",IF(AND(B2640&gt;=_TM1,B2640&lt;=_TM2,OR(TH!L2641="1111",TH!M2641="1111")),TH!D2641,""),"")</f>
        <v/>
      </c>
      <c r="B2640" s="36">
        <f t="shared" si="139"/>
        <v>11</v>
      </c>
      <c r="C2640" s="184">
        <f t="shared" si="140"/>
        <v>42700</v>
      </c>
      <c r="D2640" s="184" t="s">
        <v>1579</v>
      </c>
      <c r="E2640" s="726">
        <v>42700</v>
      </c>
      <c r="F2640" s="291" t="s">
        <v>1447</v>
      </c>
      <c r="G2640" s="456" t="s">
        <v>841</v>
      </c>
      <c r="H2640" s="7" t="s">
        <v>1581</v>
      </c>
      <c r="I2640" s="256">
        <v>308</v>
      </c>
      <c r="J2640" s="256">
        <v>7930.2821725823651</v>
      </c>
      <c r="K2640" s="38">
        <f t="shared" si="138"/>
        <v>2442527</v>
      </c>
      <c r="L2640" s="566" t="s">
        <v>167</v>
      </c>
      <c r="M2640" s="566" t="s">
        <v>165</v>
      </c>
      <c r="N2640" s="52" t="str">
        <f>IF(AND('331-CT'!$E$7=TH!H2640,OR(L2640="331",M2640="331")),"331",IF(AND(OR(L2640="131",M2640="131"),H2640='131-CT'!$E$7),"131",""))</f>
        <v/>
      </c>
      <c r="O2640" s="857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0"/>
    </row>
    <row r="2641" spans="1:30" s="211" customFormat="1" ht="15.75" customHeight="1">
      <c r="A2641" s="204" t="str">
        <f>IF(B2641&lt;&gt;"",IF(AND(B2641&gt;=_TM1,B2641&lt;=_TM2,OR(TH!L2780="1111",TH!M2780="1111")),TH!D2780,""),"")</f>
        <v/>
      </c>
      <c r="B2641" s="36">
        <f t="shared" si="139"/>
        <v>11</v>
      </c>
      <c r="C2641" s="184">
        <f t="shared" si="140"/>
        <v>42701</v>
      </c>
      <c r="D2641" s="184" t="s">
        <v>1579</v>
      </c>
      <c r="E2641" s="726">
        <v>42701</v>
      </c>
      <c r="F2641" s="192" t="s">
        <v>1449</v>
      </c>
      <c r="G2641" s="456" t="s">
        <v>1448</v>
      </c>
      <c r="H2641" s="7" t="s">
        <v>1581</v>
      </c>
      <c r="I2641" s="256">
        <v>48</v>
      </c>
      <c r="J2641" s="256">
        <v>9786.3056597824925</v>
      </c>
      <c r="K2641" s="38">
        <f t="shared" si="138"/>
        <v>469743</v>
      </c>
      <c r="L2641" s="566" t="s">
        <v>167</v>
      </c>
      <c r="M2641" s="566" t="s">
        <v>165</v>
      </c>
      <c r="N2641" s="52" t="str">
        <f>IF(AND('331-CT'!$E$7=TH!H2641,OR(L2641="331",M2641="331")),"331",IF(AND(OR(L2641="131",M2641="131"),H2641='131-CT'!$E$7),"131",""))</f>
        <v/>
      </c>
      <c r="O2641" s="857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0"/>
      <c r="AC2641" s="557"/>
      <c r="AD2641" s="557"/>
    </row>
    <row r="2642" spans="1:30" s="211" customFormat="1" ht="15.75" customHeight="1">
      <c r="A2642" s="204" t="str">
        <f>IF(B2642&lt;&gt;"",IF(AND(B2642&gt;=_TM1,B2642&lt;=_TM2,OR(TH!L2781="1111",TH!M2781="1111")),TH!D2781,""),"")</f>
        <v/>
      </c>
      <c r="B2642" s="36">
        <f t="shared" si="139"/>
        <v>11</v>
      </c>
      <c r="C2642" s="184">
        <f t="shared" si="140"/>
        <v>42701</v>
      </c>
      <c r="D2642" s="184" t="s">
        <v>1579</v>
      </c>
      <c r="E2642" s="726">
        <v>42701</v>
      </c>
      <c r="F2642" s="192" t="s">
        <v>1505</v>
      </c>
      <c r="G2642" s="456" t="s">
        <v>1502</v>
      </c>
      <c r="H2642" s="7" t="s">
        <v>1581</v>
      </c>
      <c r="I2642" s="703">
        <v>4000</v>
      </c>
      <c r="J2642" s="703">
        <v>7086.635132945943</v>
      </c>
      <c r="K2642" s="38">
        <f t="shared" si="138"/>
        <v>28346541</v>
      </c>
      <c r="L2642" s="566" t="s">
        <v>167</v>
      </c>
      <c r="M2642" s="566" t="s">
        <v>165</v>
      </c>
      <c r="N2642" s="52" t="str">
        <f>IF(AND('331-CT'!$E$7=TH!H2642,OR(L2642="331",M2642="331")),"331",IF(AND(OR(L2642="131",M2642="131"),H2642='131-CT'!$E$7),"131",""))</f>
        <v/>
      </c>
      <c r="O2642" s="857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0"/>
      <c r="AC2642" s="557"/>
      <c r="AD2642" s="557"/>
    </row>
    <row r="2643" spans="1:30" s="211" customFormat="1" ht="15.75" customHeight="1">
      <c r="A2643" s="204" t="str">
        <f>IF(B2643&lt;&gt;"",IF(AND(B2643&gt;=_TM1,B2643&lt;=_TM2,OR(TH!L2782="1111",TH!M2782="1111")),TH!D2782,""),"")</f>
        <v/>
      </c>
      <c r="B2643" s="36">
        <f t="shared" si="139"/>
        <v>11</v>
      </c>
      <c r="C2643" s="184">
        <f t="shared" si="140"/>
        <v>42702</v>
      </c>
      <c r="D2643" s="184" t="s">
        <v>1579</v>
      </c>
      <c r="E2643" s="726">
        <v>42702</v>
      </c>
      <c r="F2643" s="192" t="s">
        <v>1505</v>
      </c>
      <c r="G2643" s="456" t="s">
        <v>1506</v>
      </c>
      <c r="H2643" s="7" t="s">
        <v>1581</v>
      </c>
      <c r="I2643" s="703">
        <v>1700</v>
      </c>
      <c r="J2643" s="703">
        <v>7086.635132945943</v>
      </c>
      <c r="K2643" s="38">
        <f t="shared" ref="K2643:K2663" si="141">ROUND(I2643*J2643,0)</f>
        <v>12047280</v>
      </c>
      <c r="L2643" s="566" t="s">
        <v>167</v>
      </c>
      <c r="M2643" s="566" t="s">
        <v>165</v>
      </c>
      <c r="N2643" s="52" t="str">
        <f>IF(AND('331-CT'!$E$7=TH!H2643,OR(L2643="331",M2643="331")),"331",IF(AND(OR(L2643="131",M2643="131"),H2643='131-CT'!$E$7),"131",""))</f>
        <v/>
      </c>
      <c r="O2643" s="857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0"/>
      <c r="AC2643" s="557"/>
    </row>
    <row r="2644" spans="1:30" s="211" customFormat="1" ht="15.75" customHeight="1">
      <c r="A2644" s="204" t="str">
        <f>IF(B2644&lt;&gt;"",IF(AND(B2644&gt;=_TM1,B2644&lt;=_TM2,OR(TH!L2783="1111",TH!M2783="1111")),TH!D2783,""),"")</f>
        <v/>
      </c>
      <c r="B2644" s="36">
        <f t="shared" si="139"/>
        <v>11</v>
      </c>
      <c r="C2644" s="184">
        <f t="shared" si="140"/>
        <v>42703</v>
      </c>
      <c r="D2644" s="184" t="s">
        <v>1579</v>
      </c>
      <c r="E2644" s="726">
        <v>42703</v>
      </c>
      <c r="F2644" s="192" t="s">
        <v>1505</v>
      </c>
      <c r="G2644" s="456" t="s">
        <v>1507</v>
      </c>
      <c r="H2644" s="7" t="s">
        <v>1581</v>
      </c>
      <c r="I2644" s="256">
        <v>4000</v>
      </c>
      <c r="J2644" s="256">
        <v>7086.635132945943</v>
      </c>
      <c r="K2644" s="38">
        <f t="shared" si="141"/>
        <v>28346541</v>
      </c>
      <c r="L2644" s="566" t="s">
        <v>167</v>
      </c>
      <c r="M2644" s="566" t="s">
        <v>165</v>
      </c>
      <c r="N2644" s="52" t="str">
        <f>IF(AND('331-CT'!$E$7=TH!H2644,OR(L2644="331",M2644="331")),"331",IF(AND(OR(L2644="131",M2644="131"),H2644='131-CT'!$E$7),"131",""))</f>
        <v/>
      </c>
      <c r="O2644" s="857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0"/>
      <c r="AC2644" s="557"/>
      <c r="AD2644" s="557"/>
    </row>
    <row r="2645" spans="1:30" s="211" customFormat="1" ht="15.75" customHeight="1">
      <c r="A2645" s="204" t="str">
        <f>IF(B2645&lt;&gt;"",IF(AND(B2645&gt;=_TM1,B2645&lt;=_TM2,OR(TH!L2784="1111",TH!M2784="1111")),TH!D2784,""),"")</f>
        <v/>
      </c>
      <c r="B2645" s="36">
        <f t="shared" si="139"/>
        <v>12</v>
      </c>
      <c r="C2645" s="184">
        <f t="shared" si="140"/>
        <v>42705</v>
      </c>
      <c r="D2645" s="184" t="s">
        <v>1579</v>
      </c>
      <c r="E2645" s="726">
        <v>42705</v>
      </c>
      <c r="F2645" s="192" t="s">
        <v>1505</v>
      </c>
      <c r="G2645" s="456" t="s">
        <v>1508</v>
      </c>
      <c r="H2645" s="7" t="s">
        <v>1581</v>
      </c>
      <c r="I2645" s="256">
        <v>4000</v>
      </c>
      <c r="J2645" s="256">
        <v>7086.635132945943</v>
      </c>
      <c r="K2645" s="38">
        <f t="shared" si="141"/>
        <v>28346541</v>
      </c>
      <c r="L2645" s="566" t="s">
        <v>167</v>
      </c>
      <c r="M2645" s="566" t="s">
        <v>165</v>
      </c>
      <c r="N2645" s="52" t="str">
        <f>IF(AND('331-CT'!$E$7=TH!H2645,OR(L2645="331",M2645="331")),"331",IF(AND(OR(L2645="131",M2645="131"),H2645='131-CT'!$E$7),"131",""))</f>
        <v/>
      </c>
      <c r="O2645" s="857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0"/>
      <c r="AC2645" s="557"/>
      <c r="AD2645" s="557"/>
    </row>
    <row r="2646" spans="1:30" s="211" customFormat="1" ht="15.75" customHeight="1">
      <c r="A2646" s="204" t="str">
        <f>IF(B2646&lt;&gt;"",IF(AND(B2646&gt;=_TM1,B2646&lt;=_TM2,OR(TH!L2785="1111",TH!M2785="1111")),TH!D2785,""),"")</f>
        <v/>
      </c>
      <c r="B2646" s="36">
        <f t="shared" si="139"/>
        <v>12</v>
      </c>
      <c r="C2646" s="184">
        <f t="shared" si="140"/>
        <v>42709</v>
      </c>
      <c r="D2646" s="184" t="s">
        <v>1579</v>
      </c>
      <c r="E2646" s="726">
        <v>42709</v>
      </c>
      <c r="F2646" s="192" t="s">
        <v>1286</v>
      </c>
      <c r="G2646" s="456" t="s">
        <v>1510</v>
      </c>
      <c r="H2646" s="7" t="s">
        <v>1581</v>
      </c>
      <c r="I2646" s="256">
        <v>1870</v>
      </c>
      <c r="J2646" s="256">
        <v>6917.9057250186588</v>
      </c>
      <c r="K2646" s="38">
        <f t="shared" si="141"/>
        <v>12936484</v>
      </c>
      <c r="L2646" s="566" t="s">
        <v>167</v>
      </c>
      <c r="M2646" s="566" t="s">
        <v>165</v>
      </c>
      <c r="N2646" s="52" t="str">
        <f>IF(AND('331-CT'!$E$7=TH!H2646,OR(L2646="331",M2646="331")),"331",IF(AND(OR(L2646="131",M2646="131"),H2646='131-CT'!$E$7),"131",""))</f>
        <v/>
      </c>
      <c r="O2646" s="857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0"/>
      <c r="AC2646" s="557"/>
    </row>
    <row r="2647" spans="1:30" s="211" customFormat="1" ht="15.75" customHeight="1">
      <c r="A2647" s="204" t="str">
        <f>IF(B2647&lt;&gt;"",IF(AND(B2647&gt;=_TM1,B2647&lt;=_TM2,OR(TH!L2770="1111",TH!M2770="1111")),TH!D2770,""),"")</f>
        <v/>
      </c>
      <c r="B2647" s="36">
        <f t="shared" si="139"/>
        <v>12</v>
      </c>
      <c r="C2647" s="184">
        <f t="shared" si="140"/>
        <v>42709</v>
      </c>
      <c r="D2647" s="184" t="s">
        <v>1579</v>
      </c>
      <c r="E2647" s="726">
        <v>42709</v>
      </c>
      <c r="F2647" s="291" t="s">
        <v>471</v>
      </c>
      <c r="G2647" s="456" t="s">
        <v>1510</v>
      </c>
      <c r="H2647" s="7" t="s">
        <v>1581</v>
      </c>
      <c r="I2647" s="256">
        <v>535</v>
      </c>
      <c r="J2647" s="256">
        <v>13329.623226255466</v>
      </c>
      <c r="K2647" s="38">
        <f t="shared" si="141"/>
        <v>7131348</v>
      </c>
      <c r="L2647" s="566" t="s">
        <v>167</v>
      </c>
      <c r="M2647" s="566" t="s">
        <v>165</v>
      </c>
      <c r="N2647" s="52" t="str">
        <f>IF(AND('331-CT'!$E$7=TH!H2647,OR(L2647="331",M2647="331")),"331",IF(AND(OR(L2647="131",M2647="131"),H2647='131-CT'!$E$7),"131",""))</f>
        <v/>
      </c>
      <c r="O2647" s="857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0"/>
      <c r="AC2647" s="557"/>
      <c r="AD2647" s="557"/>
    </row>
    <row r="2648" spans="1:30" s="211" customFormat="1" ht="15.75" customHeight="1">
      <c r="A2648" s="204" t="str">
        <f>IF(B2648&lt;&gt;"",IF(AND(B2648&gt;=_TM1,B2648&lt;=_TM2,OR(TH!L2771="1111",TH!M2771="1111")),TH!D2771,""),"")</f>
        <v/>
      </c>
      <c r="B2648" s="36">
        <f t="shared" si="139"/>
        <v>12</v>
      </c>
      <c r="C2648" s="184">
        <f t="shared" si="140"/>
        <v>42709</v>
      </c>
      <c r="D2648" s="184" t="s">
        <v>1579</v>
      </c>
      <c r="E2648" s="726">
        <v>42709</v>
      </c>
      <c r="F2648" s="291" t="s">
        <v>1287</v>
      </c>
      <c r="G2648" s="456" t="s">
        <v>1510</v>
      </c>
      <c r="H2648" s="7" t="s">
        <v>1581</v>
      </c>
      <c r="I2648" s="256">
        <v>520</v>
      </c>
      <c r="J2648" s="256">
        <v>7930.2821725823651</v>
      </c>
      <c r="K2648" s="38">
        <f t="shared" si="141"/>
        <v>4123747</v>
      </c>
      <c r="L2648" s="566" t="s">
        <v>167</v>
      </c>
      <c r="M2648" s="566" t="s">
        <v>165</v>
      </c>
      <c r="N2648" s="52" t="str">
        <f>IF(AND('331-CT'!$E$7=TH!H2648,OR(L2648="331",M2648="331")),"331",IF(AND(OR(L2648="131",M2648="131"),H2648='131-CT'!$E$7),"131",""))</f>
        <v/>
      </c>
      <c r="O2648" s="857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0"/>
      <c r="AC2648" s="557"/>
    </row>
    <row r="2649" spans="1:30" s="211" customFormat="1" ht="15.75" customHeight="1">
      <c r="A2649" s="204" t="str">
        <f>IF(B2649&lt;&gt;"",IF(AND(B2649&gt;=_TM1,B2649&lt;=_TM2,OR(TH!L2774="1111",TH!M2774="1111")),TH!D2774,""),"")</f>
        <v/>
      </c>
      <c r="B2649" s="36">
        <f t="shared" si="139"/>
        <v>12</v>
      </c>
      <c r="C2649" s="184">
        <f t="shared" si="140"/>
        <v>42710</v>
      </c>
      <c r="D2649" s="184" t="s">
        <v>1579</v>
      </c>
      <c r="E2649" s="726">
        <v>42710</v>
      </c>
      <c r="F2649" s="192" t="s">
        <v>1512</v>
      </c>
      <c r="G2649" s="456" t="s">
        <v>1511</v>
      </c>
      <c r="H2649" s="7" t="s">
        <v>1581</v>
      </c>
      <c r="I2649" s="256">
        <v>52</v>
      </c>
      <c r="J2649" s="256">
        <v>9955.0350677097776</v>
      </c>
      <c r="K2649" s="38">
        <f t="shared" si="141"/>
        <v>517662</v>
      </c>
      <c r="L2649" s="566" t="s">
        <v>167</v>
      </c>
      <c r="M2649" s="566" t="s">
        <v>165</v>
      </c>
      <c r="N2649" s="52" t="str">
        <f>IF(AND('331-CT'!$E$7=TH!H2649,OR(L2649="331",M2649="331")),"331",IF(AND(OR(L2649="131",M2649="131"),H2649='131-CT'!$E$7),"131",""))</f>
        <v/>
      </c>
      <c r="O2649" s="857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0"/>
      <c r="AC2649" s="557"/>
      <c r="AD2649" s="557"/>
    </row>
    <row r="2650" spans="1:30" s="211" customFormat="1" ht="15.75" customHeight="1">
      <c r="A2650" s="204" t="str">
        <f>IF(B2650&lt;&gt;"",IF(AND(B2650&gt;=_TM1,B2650&lt;=_TM2,OR(TH!L2775="1111",TH!M2775="1111")),TH!D2775,""),"")</f>
        <v/>
      </c>
      <c r="B2650" s="36">
        <f t="shared" si="139"/>
        <v>12</v>
      </c>
      <c r="C2650" s="184">
        <f t="shared" si="140"/>
        <v>42710</v>
      </c>
      <c r="D2650" s="184" t="s">
        <v>1579</v>
      </c>
      <c r="E2650" s="726">
        <v>42710</v>
      </c>
      <c r="F2650" s="192" t="s">
        <v>1513</v>
      </c>
      <c r="G2650" s="456" t="s">
        <v>1511</v>
      </c>
      <c r="H2650" s="7" t="s">
        <v>1581</v>
      </c>
      <c r="I2650" s="256">
        <v>114</v>
      </c>
      <c r="J2650" s="256">
        <v>9280.1174360006407</v>
      </c>
      <c r="K2650" s="38">
        <f t="shared" si="141"/>
        <v>1057933</v>
      </c>
      <c r="L2650" s="566" t="s">
        <v>167</v>
      </c>
      <c r="M2650" s="566" t="s">
        <v>165</v>
      </c>
      <c r="N2650" s="52" t="str">
        <f>IF(AND('331-CT'!$E$7=TH!H2650,OR(L2650="331",M2650="331")),"331",IF(AND(OR(L2650="131",M2650="131"),H2650='131-CT'!$E$7),"131",""))</f>
        <v/>
      </c>
      <c r="O2650" s="857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0"/>
      <c r="AC2650" s="557"/>
      <c r="AD2650" s="557"/>
    </row>
    <row r="2651" spans="1:30" s="211" customFormat="1" ht="15.75" customHeight="1">
      <c r="A2651" s="204" t="str">
        <f>IF(B2651&lt;&gt;"",IF(AND(B2651&gt;=_TM1,B2651&lt;=_TM2,OR(TH!L2776="1111",TH!M2776="1111")),TH!D2776,""),"")</f>
        <v/>
      </c>
      <c r="B2651" s="36">
        <f t="shared" si="139"/>
        <v>12</v>
      </c>
      <c r="C2651" s="184">
        <f t="shared" si="140"/>
        <v>42710</v>
      </c>
      <c r="D2651" s="184" t="s">
        <v>1579</v>
      </c>
      <c r="E2651" s="726">
        <v>42710</v>
      </c>
      <c r="F2651" s="192" t="s">
        <v>1516</v>
      </c>
      <c r="G2651" s="456" t="s">
        <v>1514</v>
      </c>
      <c r="H2651" s="7" t="s">
        <v>1581</v>
      </c>
      <c r="I2651" s="256">
        <v>879</v>
      </c>
      <c r="J2651" s="256">
        <v>2952.7646387274763</v>
      </c>
      <c r="K2651" s="38">
        <f t="shared" si="141"/>
        <v>2595480</v>
      </c>
      <c r="L2651" s="566" t="s">
        <v>167</v>
      </c>
      <c r="M2651" s="566" t="s">
        <v>165</v>
      </c>
      <c r="N2651" s="52" t="str">
        <f>IF(AND('331-CT'!$E$7=TH!H2651,OR(L2651="331",M2651="331")),"331",IF(AND(OR(L2651="131",M2651="131"),H2651='131-CT'!$E$7),"131",""))</f>
        <v/>
      </c>
      <c r="O2651" s="857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0"/>
      <c r="AC2651" s="557"/>
    </row>
    <row r="2652" spans="1:30" s="211" customFormat="1" ht="15.75" customHeight="1">
      <c r="A2652" s="204" t="str">
        <f>IF(B2652&lt;&gt;"",IF(AND(B2652&gt;=_TM1,B2652&lt;=_TM2,OR(TH!L2777="1111",TH!M2777="1111")),TH!D2777,""),"")</f>
        <v/>
      </c>
      <c r="B2652" s="36">
        <f t="shared" si="139"/>
        <v>12</v>
      </c>
      <c r="C2652" s="184">
        <f t="shared" si="140"/>
        <v>42710</v>
      </c>
      <c r="D2652" s="184" t="s">
        <v>1579</v>
      </c>
      <c r="E2652" s="726">
        <v>42710</v>
      </c>
      <c r="F2652" s="192" t="s">
        <v>1517</v>
      </c>
      <c r="G2652" s="456" t="s">
        <v>1514</v>
      </c>
      <c r="H2652" s="7" t="s">
        <v>1581</v>
      </c>
      <c r="I2652" s="256">
        <v>523</v>
      </c>
      <c r="J2652" s="256">
        <v>4133.8704942184668</v>
      </c>
      <c r="K2652" s="38">
        <f t="shared" si="141"/>
        <v>2162014</v>
      </c>
      <c r="L2652" s="566" t="s">
        <v>167</v>
      </c>
      <c r="M2652" s="566" t="s">
        <v>165</v>
      </c>
      <c r="N2652" s="52" t="str">
        <f>IF(AND('331-CT'!$E$7=TH!H2652,OR(L2652="331",M2652="331")),"331",IF(AND(OR(L2652="131",M2652="131"),H2652='131-CT'!$E$7),"131",""))</f>
        <v/>
      </c>
      <c r="O2652" s="857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0"/>
      <c r="AC2652" s="557"/>
      <c r="AD2652" s="557"/>
    </row>
    <row r="2653" spans="1:30" s="211" customFormat="1" ht="15.75" customHeight="1">
      <c r="A2653" s="204" t="str">
        <f>IF(B2653&lt;&gt;"",IF(AND(B2653&gt;=_TM1,B2653&lt;=_TM2,OR(TH!L2778="1111",TH!M2778="1111")),TH!D2778,""),"")</f>
        <v/>
      </c>
      <c r="B2653" s="36">
        <f t="shared" si="139"/>
        <v>12</v>
      </c>
      <c r="C2653" s="184">
        <f t="shared" si="140"/>
        <v>42710</v>
      </c>
      <c r="D2653" s="184" t="s">
        <v>1579</v>
      </c>
      <c r="E2653" s="726">
        <v>42710</v>
      </c>
      <c r="F2653" s="192" t="s">
        <v>1505</v>
      </c>
      <c r="G2653" s="456" t="s">
        <v>1518</v>
      </c>
      <c r="H2653" s="7" t="s">
        <v>1581</v>
      </c>
      <c r="I2653" s="256">
        <v>2400</v>
      </c>
      <c r="J2653" s="256">
        <v>7086.635132945943</v>
      </c>
      <c r="K2653" s="38">
        <f t="shared" si="141"/>
        <v>17007924</v>
      </c>
      <c r="L2653" s="566" t="s">
        <v>167</v>
      </c>
      <c r="M2653" s="566" t="s">
        <v>165</v>
      </c>
      <c r="N2653" s="52" t="str">
        <f>IF(AND('331-CT'!$E$7=TH!H2653,OR(L2653="331",M2653="331")),"331",IF(AND(OR(L2653="131",M2653="131"),H2653='131-CT'!$E$7),"131",""))</f>
        <v/>
      </c>
      <c r="O2653" s="857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0"/>
      <c r="AC2653" s="557"/>
      <c r="AD2653" s="557"/>
    </row>
    <row r="2654" spans="1:30" s="211" customFormat="1" ht="15.75" customHeight="1">
      <c r="A2654" s="204" t="str">
        <f>IF(B2654&lt;&gt;"",IF(AND(B2654&gt;=_TM1,B2654&lt;=_TM2,OR(TH!L2779="1111",TH!M2779="1111")),TH!D2779,""),"")</f>
        <v/>
      </c>
      <c r="B2654" s="36">
        <f t="shared" si="139"/>
        <v>12</v>
      </c>
      <c r="C2654" s="184">
        <f t="shared" si="140"/>
        <v>42711</v>
      </c>
      <c r="D2654" s="184" t="s">
        <v>1579</v>
      </c>
      <c r="E2654" s="726">
        <v>42711</v>
      </c>
      <c r="F2654" s="192" t="s">
        <v>1505</v>
      </c>
      <c r="G2654" s="456" t="s">
        <v>1519</v>
      </c>
      <c r="H2654" s="7" t="s">
        <v>1581</v>
      </c>
      <c r="I2654" s="256">
        <v>2400</v>
      </c>
      <c r="J2654" s="256">
        <v>7086.635132945943</v>
      </c>
      <c r="K2654" s="38">
        <f t="shared" si="141"/>
        <v>17007924</v>
      </c>
      <c r="L2654" s="566" t="s">
        <v>167</v>
      </c>
      <c r="M2654" s="566" t="s">
        <v>165</v>
      </c>
      <c r="N2654" s="52" t="str">
        <f>IF(AND('331-CT'!$E$7=TH!H2654,OR(L2654="331",M2654="331")),"331",IF(AND(OR(L2654="131",M2654="131"),H2654='131-CT'!$E$7),"131",""))</f>
        <v/>
      </c>
      <c r="O2654" s="857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0"/>
      <c r="AC2654" s="557"/>
    </row>
    <row r="2655" spans="1:30" s="211" customFormat="1" ht="15.75" customHeight="1">
      <c r="A2655" s="204" t="str">
        <f>IF(B2655&lt;&gt;"",IF(AND(B2655&gt;=_TM1,B2655&lt;=_TM2,OR(TH!L2642="1111",TH!M2642="1111")),TH!D2642,""),"")</f>
        <v/>
      </c>
      <c r="B2655" s="36">
        <f t="shared" si="139"/>
        <v>12</v>
      </c>
      <c r="C2655" s="184">
        <f t="shared" si="140"/>
        <v>42713</v>
      </c>
      <c r="D2655" s="184" t="s">
        <v>1579</v>
      </c>
      <c r="E2655" s="726">
        <v>42713</v>
      </c>
      <c r="F2655" s="189" t="s">
        <v>1334</v>
      </c>
      <c r="G2655" s="456" t="s">
        <v>1520</v>
      </c>
      <c r="H2655" s="7" t="s">
        <v>1581</v>
      </c>
      <c r="I2655" s="703">
        <v>1510</v>
      </c>
      <c r="J2655" s="703">
        <v>6074.2586853822377</v>
      </c>
      <c r="K2655" s="38">
        <f t="shared" si="141"/>
        <v>9172131</v>
      </c>
      <c r="L2655" s="566" t="s">
        <v>167</v>
      </c>
      <c r="M2655" s="566" t="s">
        <v>165</v>
      </c>
      <c r="N2655" s="52" t="str">
        <f>IF(AND('331-CT'!$E$7=TH!H2655,OR(L2655="331",M2655="331")),"331",IF(AND(OR(L2655="131",M2655="131"),H2655='131-CT'!$E$7),"131",""))</f>
        <v/>
      </c>
      <c r="O2655" s="857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0"/>
    </row>
    <row r="2656" spans="1:30" s="211" customFormat="1" ht="15.75" customHeight="1">
      <c r="A2656" s="204" t="str">
        <f>IF(B2656&lt;&gt;"",IF(AND(B2656&gt;=_TM1,B2656&lt;=_TM2,OR(TH!L2643="1111",TH!M2643="1111")),TH!D2643,""),"")</f>
        <v/>
      </c>
      <c r="B2656" s="36">
        <f t="shared" si="139"/>
        <v>12</v>
      </c>
      <c r="C2656" s="184">
        <f t="shared" si="140"/>
        <v>42713</v>
      </c>
      <c r="D2656" s="184" t="s">
        <v>1579</v>
      </c>
      <c r="E2656" s="726">
        <v>42713</v>
      </c>
      <c r="F2656" s="189" t="s">
        <v>1346</v>
      </c>
      <c r="G2656" s="456" t="s">
        <v>1520</v>
      </c>
      <c r="H2656" s="7" t="s">
        <v>1581</v>
      </c>
      <c r="I2656" s="256">
        <v>1500</v>
      </c>
      <c r="J2656" s="256">
        <v>4724.4234219639629</v>
      </c>
      <c r="K2656" s="38">
        <f t="shared" si="141"/>
        <v>7086635</v>
      </c>
      <c r="L2656" s="566" t="s">
        <v>167</v>
      </c>
      <c r="M2656" s="566" t="s">
        <v>165</v>
      </c>
      <c r="N2656" s="52" t="str">
        <f>IF(AND('331-CT'!$E$7=TH!H2656,OR(L2656="331",M2656="331")),"331",IF(AND(OR(L2656="131",M2656="131"),H2656='131-CT'!$E$7),"131",""))</f>
        <v/>
      </c>
      <c r="O2656" s="857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0"/>
    </row>
    <row r="2657" spans="1:30" s="211" customFormat="1" ht="15.75" customHeight="1">
      <c r="A2657" s="204" t="str">
        <f>IF(B2657&lt;&gt;"",IF(AND(B2657&gt;=_TM1,B2657&lt;=_TM2,OR(TH!L2644="1111",TH!M2644="1111")),TH!D2644,""),"")</f>
        <v/>
      </c>
      <c r="B2657" s="36">
        <f t="shared" si="139"/>
        <v>12</v>
      </c>
      <c r="C2657" s="184">
        <f t="shared" si="140"/>
        <v>42713</v>
      </c>
      <c r="D2657" s="184" t="s">
        <v>1579</v>
      </c>
      <c r="E2657" s="726">
        <v>42713</v>
      </c>
      <c r="F2657" s="291" t="s">
        <v>1386</v>
      </c>
      <c r="G2657" s="456" t="s">
        <v>1521</v>
      </c>
      <c r="H2657" s="7" t="s">
        <v>1581</v>
      </c>
      <c r="I2657" s="256">
        <v>535</v>
      </c>
      <c r="J2657" s="256">
        <v>6327.3527972731645</v>
      </c>
      <c r="K2657" s="38">
        <f t="shared" si="141"/>
        <v>3385134</v>
      </c>
      <c r="L2657" s="566" t="s">
        <v>167</v>
      </c>
      <c r="M2657" s="566" t="s">
        <v>165</v>
      </c>
      <c r="N2657" s="52" t="str">
        <f>IF(AND('331-CT'!$E$7=TH!H2657,OR(L2657="331",M2657="331")),"331",IF(AND(OR(L2657="131",M2657="131"),H2657='131-CT'!$E$7),"131",""))</f>
        <v/>
      </c>
      <c r="O2657" s="857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0"/>
      <c r="AC2657" s="557"/>
      <c r="AD2657" s="557"/>
    </row>
    <row r="2658" spans="1:30" s="211" customFormat="1" ht="15.75" customHeight="1">
      <c r="A2658" s="204" t="str">
        <f>IF(B2658&lt;&gt;"",IF(AND(B2658&gt;=_TM1,B2658&lt;=_TM2,OR(TH!L2645="1111",TH!M2645="1111")),TH!D2645,""),"")</f>
        <v/>
      </c>
      <c r="B2658" s="36">
        <f t="shared" si="139"/>
        <v>12</v>
      </c>
      <c r="C2658" s="184">
        <f t="shared" si="140"/>
        <v>42713</v>
      </c>
      <c r="D2658" s="184" t="s">
        <v>1579</v>
      </c>
      <c r="E2658" s="726">
        <v>42713</v>
      </c>
      <c r="F2658" s="291" t="s">
        <v>985</v>
      </c>
      <c r="G2658" s="456" t="s">
        <v>1521</v>
      </c>
      <c r="H2658" s="7" t="s">
        <v>1581</v>
      </c>
      <c r="I2658" s="256">
        <v>46</v>
      </c>
      <c r="J2658" s="256">
        <v>5905.5292774549525</v>
      </c>
      <c r="K2658" s="38">
        <f t="shared" si="141"/>
        <v>271654</v>
      </c>
      <c r="L2658" s="566" t="s">
        <v>167</v>
      </c>
      <c r="M2658" s="566" t="s">
        <v>165</v>
      </c>
      <c r="N2658" s="52" t="str">
        <f>IF(AND('331-CT'!$E$7=TH!H2658,OR(L2658="331",M2658="331")),"331",IF(AND(OR(L2658="131",M2658="131"),H2658='131-CT'!$E$7),"131",""))</f>
        <v/>
      </c>
      <c r="O2658" s="857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0"/>
      <c r="AC2658" s="557"/>
    </row>
    <row r="2659" spans="1:30" s="211" customFormat="1" ht="15.75" customHeight="1">
      <c r="A2659" s="204" t="str">
        <f>IF(B2659&lt;&gt;"",IF(AND(B2659&gt;=_TM1,B2659&lt;=_TM2,OR(TH!L2646="1111",TH!M2646="1111")),TH!D2646,""),"")</f>
        <v/>
      </c>
      <c r="B2659" s="36">
        <f t="shared" si="139"/>
        <v>12</v>
      </c>
      <c r="C2659" s="184">
        <f t="shared" si="140"/>
        <v>42716</v>
      </c>
      <c r="D2659" s="184" t="s">
        <v>1579</v>
      </c>
      <c r="E2659" s="726">
        <v>42716</v>
      </c>
      <c r="F2659" s="291" t="s">
        <v>1465</v>
      </c>
      <c r="G2659" s="456" t="s">
        <v>1522</v>
      </c>
      <c r="H2659" s="7" t="s">
        <v>1581</v>
      </c>
      <c r="I2659" s="256">
        <v>600</v>
      </c>
      <c r="J2659" s="256">
        <v>8605.1998042915038</v>
      </c>
      <c r="K2659" s="38">
        <f t="shared" si="141"/>
        <v>5163120</v>
      </c>
      <c r="L2659" s="566" t="s">
        <v>167</v>
      </c>
      <c r="M2659" s="566" t="s">
        <v>165</v>
      </c>
      <c r="N2659" s="52" t="str">
        <f>IF(AND('331-CT'!$E$7=TH!H2659,OR(L2659="331",M2659="331")),"331",IF(AND(OR(L2659="131",M2659="131"),H2659='131-CT'!$E$7),"131",""))</f>
        <v/>
      </c>
      <c r="O2659" s="857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0"/>
      <c r="AC2659" s="557"/>
    </row>
    <row r="2660" spans="1:30" s="211" customFormat="1" ht="15.75" customHeight="1">
      <c r="A2660" s="204" t="str">
        <f>IF(B2660&lt;&gt;"",IF(AND(B2660&gt;=_TM1,B2660&lt;=_TM2,OR(TH!L2772="1111",TH!M2772="1111")),TH!D2772,""),"")</f>
        <v/>
      </c>
      <c r="B2660" s="36">
        <f t="shared" si="139"/>
        <v>12</v>
      </c>
      <c r="C2660" s="184">
        <f t="shared" si="140"/>
        <v>42716</v>
      </c>
      <c r="D2660" s="184" t="s">
        <v>1579</v>
      </c>
      <c r="E2660" s="726">
        <v>42716</v>
      </c>
      <c r="F2660" s="192" t="s">
        <v>1505</v>
      </c>
      <c r="G2660" s="456" t="s">
        <v>1523</v>
      </c>
      <c r="H2660" s="7" t="s">
        <v>1581</v>
      </c>
      <c r="I2660" s="256">
        <v>800</v>
      </c>
      <c r="J2660" s="256">
        <v>7086.635132945943</v>
      </c>
      <c r="K2660" s="38">
        <f t="shared" si="141"/>
        <v>5669308</v>
      </c>
      <c r="L2660" s="566" t="s">
        <v>167</v>
      </c>
      <c r="M2660" s="566" t="s">
        <v>165</v>
      </c>
      <c r="N2660" s="52" t="str">
        <f>IF(AND('331-CT'!$E$7=TH!H2660,OR(L2660="331",M2660="331")),"331",IF(AND(OR(L2660="131",M2660="131"),H2660='131-CT'!$E$7),"131",""))</f>
        <v/>
      </c>
      <c r="O2660" s="857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0"/>
      <c r="AC2660" s="557"/>
      <c r="AD2660" s="557"/>
    </row>
    <row r="2661" spans="1:30" s="211" customFormat="1" ht="15.75" customHeight="1">
      <c r="A2661" s="204" t="str">
        <f>IF(B2661&lt;&gt;"",IF(AND(B2661&gt;=_TM1,B2661&lt;=_TM2,OR(TH!L2773="1111",TH!M2773="1111")),TH!D2773,""),"")</f>
        <v/>
      </c>
      <c r="B2661" s="36">
        <f t="shared" si="139"/>
        <v>12</v>
      </c>
      <c r="C2661" s="184">
        <f t="shared" si="140"/>
        <v>42716</v>
      </c>
      <c r="D2661" s="184" t="s">
        <v>1579</v>
      </c>
      <c r="E2661" s="726">
        <v>42716</v>
      </c>
      <c r="F2661" s="192" t="s">
        <v>1505</v>
      </c>
      <c r="G2661" s="456" t="s">
        <v>1524</v>
      </c>
      <c r="H2661" s="7" t="s">
        <v>1581</v>
      </c>
      <c r="I2661" s="256">
        <v>2400</v>
      </c>
      <c r="J2661" s="256">
        <v>7086.635132945943</v>
      </c>
      <c r="K2661" s="38">
        <f t="shared" si="141"/>
        <v>17007924</v>
      </c>
      <c r="L2661" s="566" t="s">
        <v>167</v>
      </c>
      <c r="M2661" s="566" t="s">
        <v>165</v>
      </c>
      <c r="N2661" s="52" t="str">
        <f>IF(AND('331-CT'!$E$7=TH!H2661,OR(L2661="331",M2661="331")),"331",IF(AND(OR(L2661="131",M2661="131"),H2661='131-CT'!$E$7),"131",""))</f>
        <v/>
      </c>
      <c r="O2661" s="857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0"/>
      <c r="AC2661" s="557"/>
    </row>
    <row r="2662" spans="1:30" s="211" customFormat="1" ht="15.75" customHeight="1">
      <c r="A2662" s="204" t="str">
        <f>IF(B2662&lt;&gt;"",IF(AND(B2662&gt;=_TM1,B2662&lt;=_TM2,OR(TH!L2647="1111",TH!M2647="1111")),TH!D2647,""),"")</f>
        <v/>
      </c>
      <c r="B2662" s="36">
        <f t="shared" si="139"/>
        <v>12</v>
      </c>
      <c r="C2662" s="184">
        <f t="shared" si="140"/>
        <v>42717</v>
      </c>
      <c r="D2662" s="184" t="s">
        <v>1579</v>
      </c>
      <c r="E2662" s="191">
        <v>42717</v>
      </c>
      <c r="F2662" s="291" t="s">
        <v>1505</v>
      </c>
      <c r="G2662" s="456" t="s">
        <v>1525</v>
      </c>
      <c r="H2662" s="7" t="s">
        <v>1581</v>
      </c>
      <c r="I2662" s="256">
        <v>2400</v>
      </c>
      <c r="J2662" s="256">
        <v>7086.635132945943</v>
      </c>
      <c r="K2662" s="38">
        <f t="shared" si="141"/>
        <v>17007924</v>
      </c>
      <c r="L2662" s="566" t="s">
        <v>167</v>
      </c>
      <c r="M2662" s="566" t="s">
        <v>165</v>
      </c>
      <c r="N2662" s="52" t="str">
        <f>IF(AND('331-CT'!$E$7=TH!H2662,OR(L2662="331",M2662="331")),"331",IF(AND(OR(L2662="131",M2662="131"),H2662='131-CT'!$E$7),"131",""))</f>
        <v/>
      </c>
      <c r="O2662" s="857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0"/>
      <c r="AC2662" s="557"/>
      <c r="AD2662" s="557"/>
    </row>
    <row r="2663" spans="1:30" s="211" customFormat="1" ht="15.75" customHeight="1">
      <c r="A2663" s="204" t="str">
        <f>IF(B2663&lt;&gt;"",IF(AND(B2663&gt;=_TM1,B2663&lt;=_TM2,OR(TH!L2648="1111",TH!M2648="1111")),TH!D2648,""),"")</f>
        <v/>
      </c>
      <c r="B2663" s="36">
        <f t="shared" si="139"/>
        <v>12</v>
      </c>
      <c r="C2663" s="184">
        <f t="shared" si="140"/>
        <v>42718</v>
      </c>
      <c r="D2663" s="184" t="s">
        <v>1579</v>
      </c>
      <c r="E2663" s="191">
        <v>42718</v>
      </c>
      <c r="F2663" s="291" t="s">
        <v>1505</v>
      </c>
      <c r="G2663" s="456" t="s">
        <v>1526</v>
      </c>
      <c r="H2663" s="7" t="s">
        <v>1581</v>
      </c>
      <c r="I2663" s="256">
        <v>2400</v>
      </c>
      <c r="J2663" s="256">
        <v>7086.635132945943</v>
      </c>
      <c r="K2663" s="38">
        <f t="shared" si="141"/>
        <v>17007924</v>
      </c>
      <c r="L2663" s="566" t="s">
        <v>167</v>
      </c>
      <c r="M2663" s="566" t="s">
        <v>165</v>
      </c>
      <c r="N2663" s="52" t="str">
        <f>IF(AND('331-CT'!$E$7=TH!H2663,OR(L2663="331",M2663="331")),"331",IF(AND(OR(L2663="131",M2663="131"),H2663='131-CT'!$E$7),"131",""))</f>
        <v/>
      </c>
      <c r="O2663" s="857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0"/>
      <c r="AC2663" s="557"/>
    </row>
    <row r="2664" spans="1:30" s="211" customFormat="1" ht="15.75" customHeight="1">
      <c r="A2664" s="204" t="str">
        <f>IF(B2664&lt;&gt;"",IF(AND(B2664&gt;=_TM1,B2664&lt;=_TM2,OR(TH!L2649="1111",TH!M2649="1111")),TH!D2649,""),"")</f>
        <v/>
      </c>
      <c r="B2664" s="36">
        <f t="shared" si="139"/>
        <v>12</v>
      </c>
      <c r="C2664" s="184">
        <f t="shared" si="140"/>
        <v>42719</v>
      </c>
      <c r="D2664" s="184" t="s">
        <v>1579</v>
      </c>
      <c r="E2664" s="191">
        <v>42719</v>
      </c>
      <c r="F2664" s="291" t="s">
        <v>1505</v>
      </c>
      <c r="G2664" s="456" t="s">
        <v>1527</v>
      </c>
      <c r="H2664" s="7" t="s">
        <v>1581</v>
      </c>
      <c r="I2664" s="256">
        <v>2400</v>
      </c>
      <c r="J2664" s="256">
        <v>7086.635132945943</v>
      </c>
      <c r="K2664" s="38">
        <f t="shared" ref="K2664:K2687" si="142">ROUND(I2664*J2664,0)</f>
        <v>17007924</v>
      </c>
      <c r="L2664" s="566" t="s">
        <v>167</v>
      </c>
      <c r="M2664" s="566" t="s">
        <v>165</v>
      </c>
      <c r="N2664" s="52" t="str">
        <f>IF(AND('331-CT'!$E$7=TH!H2664,OR(L2664="331",M2664="331")),"331",IF(AND(OR(L2664="131",M2664="131"),H2664='131-CT'!$E$7),"131",""))</f>
        <v/>
      </c>
      <c r="O2664" s="857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0"/>
      <c r="AC2664" s="557"/>
    </row>
    <row r="2665" spans="1:30" s="211" customFormat="1" ht="15.75" customHeight="1">
      <c r="A2665" s="204" t="str">
        <f>IF(B2665&lt;&gt;"",IF(AND(B2665&gt;=_TM1,B2665&lt;=_TM2,OR(TH!L2650="1111",TH!M2650="1111")),TH!D2650,""),"")</f>
        <v/>
      </c>
      <c r="B2665" s="36">
        <f t="shared" si="139"/>
        <v>12</v>
      </c>
      <c r="C2665" s="184">
        <f t="shared" si="140"/>
        <v>42720</v>
      </c>
      <c r="D2665" s="184" t="s">
        <v>1579</v>
      </c>
      <c r="E2665" s="726">
        <v>42720</v>
      </c>
      <c r="F2665" s="189" t="s">
        <v>1505</v>
      </c>
      <c r="G2665" s="456" t="s">
        <v>1528</v>
      </c>
      <c r="H2665" s="7" t="s">
        <v>1581</v>
      </c>
      <c r="I2665" s="256">
        <v>2400</v>
      </c>
      <c r="J2665" s="256">
        <v>7086.635132945943</v>
      </c>
      <c r="K2665" s="38">
        <f t="shared" si="142"/>
        <v>17007924</v>
      </c>
      <c r="L2665" s="566" t="s">
        <v>167</v>
      </c>
      <c r="M2665" s="566" t="s">
        <v>165</v>
      </c>
      <c r="N2665" s="52" t="str">
        <f>IF(AND('331-CT'!$E$7=TH!H2665,OR(L2665="331",M2665="331")),"331",IF(AND(OR(L2665="131",M2665="131"),H2665='131-CT'!$E$7),"131",""))</f>
        <v/>
      </c>
      <c r="O2665" s="857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0"/>
    </row>
    <row r="2666" spans="1:30" s="211" customFormat="1" ht="15.75" customHeight="1">
      <c r="A2666" s="204" t="str">
        <f>IF(B2666&lt;&gt;"",IF(AND(B2666&gt;=_TM1,B2666&lt;=_TM2,OR(TH!L2651="1111",TH!M2651="1111")),TH!D2651,""),"")</f>
        <v/>
      </c>
      <c r="B2666" s="36">
        <f t="shared" ref="B2666:B2745" si="143">IF(C2666&lt;&gt;"",MONTH(C2666),"")</f>
        <v>12</v>
      </c>
      <c r="C2666" s="184">
        <f t="shared" si="140"/>
        <v>42721</v>
      </c>
      <c r="D2666" s="184" t="s">
        <v>1579</v>
      </c>
      <c r="E2666" s="726">
        <v>42721</v>
      </c>
      <c r="F2666" s="189" t="s">
        <v>1505</v>
      </c>
      <c r="G2666" s="456" t="s">
        <v>1529</v>
      </c>
      <c r="H2666" s="7" t="s">
        <v>1581</v>
      </c>
      <c r="I2666" s="256">
        <v>180</v>
      </c>
      <c r="J2666" s="256">
        <v>7086.635132945943</v>
      </c>
      <c r="K2666" s="38">
        <f t="shared" si="142"/>
        <v>1275594</v>
      </c>
      <c r="L2666" s="566" t="s">
        <v>167</v>
      </c>
      <c r="M2666" s="566" t="s">
        <v>165</v>
      </c>
      <c r="N2666" s="52" t="str">
        <f>IF(AND('331-CT'!$E$7=TH!H2666,OR(L2666="331",M2666="331")),"331",IF(AND(OR(L2666="131",M2666="131"),H2666='131-CT'!$E$7),"131",""))</f>
        <v/>
      </c>
      <c r="O2666" s="857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0"/>
    </row>
    <row r="2667" spans="1:30" s="211" customFormat="1" ht="15.75" customHeight="1">
      <c r="A2667" s="204" t="str">
        <f>IF(B2667&lt;&gt;"",IF(AND(B2667&gt;=_TM1,B2667&lt;=_TM2,OR(TH!L2652="1111",TH!M2652="1111")),TH!D2652,""),"")</f>
        <v/>
      </c>
      <c r="B2667" s="36">
        <f t="shared" si="143"/>
        <v>12</v>
      </c>
      <c r="C2667" s="184">
        <f t="shared" si="140"/>
        <v>42724</v>
      </c>
      <c r="D2667" s="184" t="s">
        <v>1579</v>
      </c>
      <c r="E2667" s="191">
        <v>42724</v>
      </c>
      <c r="F2667" s="192" t="s">
        <v>1531</v>
      </c>
      <c r="G2667" s="456" t="s">
        <v>1530</v>
      </c>
      <c r="H2667" s="7" t="s">
        <v>1581</v>
      </c>
      <c r="I2667" s="256">
        <v>397</v>
      </c>
      <c r="J2667" s="256">
        <v>8183.3762844732919</v>
      </c>
      <c r="K2667" s="38">
        <f t="shared" si="142"/>
        <v>3248800</v>
      </c>
      <c r="L2667" s="566" t="s">
        <v>167</v>
      </c>
      <c r="M2667" s="566" t="s">
        <v>165</v>
      </c>
      <c r="N2667" s="52" t="str">
        <f>IF(AND('331-CT'!$E$7=TH!H2667,OR(L2667="331",M2667="331")),"331",IF(AND(OR(L2667="131",M2667="131"),H2667='131-CT'!$E$7),"131",""))</f>
        <v/>
      </c>
      <c r="O2667" s="857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0"/>
      <c r="AC2667" s="557"/>
      <c r="AD2667" s="557"/>
    </row>
    <row r="2668" spans="1:30" s="211" customFormat="1" ht="15.75" customHeight="1">
      <c r="A2668" s="204" t="str">
        <f>IF(B2668&lt;&gt;"",IF(AND(B2668&gt;=_TM1,B2668&lt;=_TM2,OR(TH!L2653="1111",TH!M2653="1111")),TH!D2653,""),"")</f>
        <v/>
      </c>
      <c r="B2668" s="36">
        <f t="shared" si="143"/>
        <v>12</v>
      </c>
      <c r="C2668" s="184">
        <f t="shared" si="140"/>
        <v>42724</v>
      </c>
      <c r="D2668" s="184" t="s">
        <v>1579</v>
      </c>
      <c r="E2668" s="191">
        <v>42724</v>
      </c>
      <c r="F2668" s="192" t="s">
        <v>430</v>
      </c>
      <c r="G2668" s="456" t="s">
        <v>1530</v>
      </c>
      <c r="H2668" s="7" t="s">
        <v>1581</v>
      </c>
      <c r="I2668" s="256">
        <v>200</v>
      </c>
      <c r="J2668" s="256">
        <v>8014.6468765460077</v>
      </c>
      <c r="K2668" s="38">
        <f t="shared" si="142"/>
        <v>1602929</v>
      </c>
      <c r="L2668" s="566" t="s">
        <v>167</v>
      </c>
      <c r="M2668" s="566" t="s">
        <v>165</v>
      </c>
      <c r="N2668" s="52" t="str">
        <f>IF(AND('331-CT'!$E$7=TH!H2668,OR(L2668="331",M2668="331")),"331",IF(AND(OR(L2668="131",M2668="131"),H2668='131-CT'!$E$7),"131",""))</f>
        <v/>
      </c>
      <c r="O2668" s="857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0"/>
      <c r="AC2668" s="557"/>
    </row>
    <row r="2669" spans="1:30" s="211" customFormat="1" ht="15.75" customHeight="1">
      <c r="A2669" s="204" t="str">
        <f>IF(B2669&lt;&gt;"",IF(AND(B2669&gt;=_TM1,B2669&lt;=_TM2,OR(TH!L2654="1111",TH!M2654="1111")),TH!D2654,""),"")</f>
        <v/>
      </c>
      <c r="B2669" s="36">
        <f t="shared" si="143"/>
        <v>12</v>
      </c>
      <c r="C2669" s="184">
        <f t="shared" si="140"/>
        <v>42724</v>
      </c>
      <c r="D2669" s="184" t="s">
        <v>1579</v>
      </c>
      <c r="E2669" s="191">
        <v>42724</v>
      </c>
      <c r="F2669" s="291" t="s">
        <v>430</v>
      </c>
      <c r="G2669" s="456" t="s">
        <v>1530</v>
      </c>
      <c r="H2669" s="7" t="s">
        <v>1581</v>
      </c>
      <c r="I2669" s="256">
        <v>389</v>
      </c>
      <c r="J2669" s="256">
        <v>8014.6468765460077</v>
      </c>
      <c r="K2669" s="38">
        <f t="shared" si="142"/>
        <v>3117698</v>
      </c>
      <c r="L2669" s="566" t="s">
        <v>167</v>
      </c>
      <c r="M2669" s="566" t="s">
        <v>165</v>
      </c>
      <c r="N2669" s="52" t="str">
        <f>IF(AND('331-CT'!$E$7=TH!H2669,OR(L2669="331",M2669="331")),"331",IF(AND(OR(L2669="131",M2669="131"),H2669='131-CT'!$E$7),"131",""))</f>
        <v/>
      </c>
      <c r="O2669" s="857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0"/>
      <c r="AC2669" s="557"/>
    </row>
    <row r="2670" spans="1:30" s="211" customFormat="1" ht="15.75" customHeight="1">
      <c r="A2670" s="204" t="str">
        <f>IF(B2670&lt;&gt;"",IF(AND(B2670&gt;=_TM1,B2670&lt;=_TM2,OR(TH!L2655="1111",TH!M2655="1111")),TH!D2655,""),"")</f>
        <v/>
      </c>
      <c r="B2670" s="36">
        <f t="shared" si="143"/>
        <v>12</v>
      </c>
      <c r="C2670" s="184">
        <f t="shared" si="140"/>
        <v>42724</v>
      </c>
      <c r="D2670" s="184" t="s">
        <v>1579</v>
      </c>
      <c r="E2670" s="191">
        <v>42724</v>
      </c>
      <c r="F2670" s="189" t="s">
        <v>985</v>
      </c>
      <c r="G2670" s="456" t="s">
        <v>1530</v>
      </c>
      <c r="H2670" s="7" t="s">
        <v>1581</v>
      </c>
      <c r="I2670" s="256">
        <v>566</v>
      </c>
      <c r="J2670" s="256">
        <v>5905.5292774549525</v>
      </c>
      <c r="K2670" s="38">
        <f t="shared" si="142"/>
        <v>3342530</v>
      </c>
      <c r="L2670" s="566" t="s">
        <v>167</v>
      </c>
      <c r="M2670" s="566" t="s">
        <v>165</v>
      </c>
      <c r="N2670" s="52" t="str">
        <f>IF(AND('331-CT'!$E$7=TH!H2670,OR(L2670="331",M2670="331")),"331",IF(AND(OR(L2670="131",M2670="131"),H2670='131-CT'!$E$7),"131",""))</f>
        <v/>
      </c>
      <c r="O2670" s="857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0"/>
      <c r="AC2670" s="557"/>
      <c r="AD2670" s="557"/>
    </row>
    <row r="2671" spans="1:30" s="211" customFormat="1" ht="15.75" customHeight="1">
      <c r="A2671" s="204" t="str">
        <f>IF(B2671&lt;&gt;"",IF(AND(B2671&gt;=_TM1,B2671&lt;=_TM2,OR(TH!L2656="1111",TH!M2656="1111")),TH!D2656,""),"")</f>
        <v/>
      </c>
      <c r="B2671" s="36">
        <f t="shared" si="143"/>
        <v>12</v>
      </c>
      <c r="C2671" s="184">
        <f t="shared" si="140"/>
        <v>42724</v>
      </c>
      <c r="D2671" s="184" t="s">
        <v>1579</v>
      </c>
      <c r="E2671" s="191">
        <v>42724</v>
      </c>
      <c r="F2671" s="189" t="s">
        <v>1505</v>
      </c>
      <c r="G2671" s="456" t="s">
        <v>1532</v>
      </c>
      <c r="H2671" s="7" t="s">
        <v>1581</v>
      </c>
      <c r="I2671" s="256">
        <v>2400</v>
      </c>
      <c r="J2671" s="256">
        <v>7086.635132945943</v>
      </c>
      <c r="K2671" s="38">
        <f t="shared" si="142"/>
        <v>17007924</v>
      </c>
      <c r="L2671" s="566" t="s">
        <v>167</v>
      </c>
      <c r="M2671" s="566" t="s">
        <v>165</v>
      </c>
      <c r="N2671" s="52" t="str">
        <f>IF(AND('331-CT'!$E$7=TH!H2671,OR(L2671="331",M2671="331")),"331",IF(AND(OR(L2671="131",M2671="131"),H2671='131-CT'!$E$7),"131",""))</f>
        <v/>
      </c>
      <c r="O2671" s="857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0"/>
      <c r="AC2671" s="557"/>
    </row>
    <row r="2672" spans="1:30" s="211" customFormat="1" ht="15.75" customHeight="1">
      <c r="A2672" s="204" t="str">
        <f>IF(B2672&lt;&gt;"",IF(AND(B2672&gt;=_TM1,B2672&lt;=_TM2,OR(TH!L2657="1111",TH!M2657="1111")),TH!D2657,""),"")</f>
        <v/>
      </c>
      <c r="B2672" s="36">
        <f t="shared" si="143"/>
        <v>12</v>
      </c>
      <c r="C2672" s="184">
        <f t="shared" si="140"/>
        <v>42725</v>
      </c>
      <c r="D2672" s="184" t="s">
        <v>1579</v>
      </c>
      <c r="E2672" s="191">
        <v>42725</v>
      </c>
      <c r="F2672" s="189" t="s">
        <v>1505</v>
      </c>
      <c r="G2672" s="456" t="s">
        <v>1533</v>
      </c>
      <c r="H2672" s="7" t="s">
        <v>1581</v>
      </c>
      <c r="I2672" s="256">
        <v>2400</v>
      </c>
      <c r="J2672" s="256">
        <v>7086.635132945943</v>
      </c>
      <c r="K2672" s="38">
        <f t="shared" si="142"/>
        <v>17007924</v>
      </c>
      <c r="L2672" s="566" t="s">
        <v>167</v>
      </c>
      <c r="M2672" s="566" t="s">
        <v>165</v>
      </c>
      <c r="N2672" s="52" t="str">
        <f>IF(AND('331-CT'!$E$7=TH!H2672,OR(L2672="331",M2672="331")),"331",IF(AND(OR(L2672="131",M2672="131"),H2672='131-CT'!$E$7),"131",""))</f>
        <v/>
      </c>
      <c r="O2672" s="857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0"/>
      <c r="AC2672" s="557"/>
    </row>
    <row r="2673" spans="1:30" s="211" customFormat="1" ht="15.75" customHeight="1">
      <c r="A2673" s="204" t="str">
        <f>IF(B2673&lt;&gt;"",IF(AND(B2673&gt;=_TM1,B2673&lt;=_TM2,OR(TH!L2658="1111",TH!M2658="1111")),TH!D2658,""),"")</f>
        <v/>
      </c>
      <c r="B2673" s="36">
        <f t="shared" si="143"/>
        <v>12</v>
      </c>
      <c r="C2673" s="184">
        <f t="shared" si="140"/>
        <v>42725</v>
      </c>
      <c r="D2673" s="184" t="s">
        <v>1579</v>
      </c>
      <c r="E2673" s="191">
        <v>42725</v>
      </c>
      <c r="F2673" s="291" t="s">
        <v>1536</v>
      </c>
      <c r="G2673" s="456" t="s">
        <v>1534</v>
      </c>
      <c r="H2673" s="7" t="s">
        <v>1581</v>
      </c>
      <c r="I2673" s="256">
        <v>66</v>
      </c>
      <c r="J2673" s="256">
        <v>17294.764312546646</v>
      </c>
      <c r="K2673" s="38">
        <f t="shared" si="142"/>
        <v>1141454</v>
      </c>
      <c r="L2673" s="566" t="s">
        <v>167</v>
      </c>
      <c r="M2673" s="566" t="s">
        <v>165</v>
      </c>
      <c r="N2673" s="52" t="str">
        <f>IF(AND('331-CT'!$E$7=TH!H2673,OR(L2673="331",M2673="331")),"331",IF(AND(OR(L2673="131",M2673="131"),H2673='131-CT'!$E$7),"131",""))</f>
        <v/>
      </c>
      <c r="O2673" s="857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0"/>
      <c r="AC2673" s="557"/>
      <c r="AD2673" s="557"/>
    </row>
    <row r="2674" spans="1:30" s="211" customFormat="1" ht="15.75" customHeight="1">
      <c r="A2674" s="204" t="str">
        <f>IF(B2674&lt;&gt;"",IF(AND(B2674&gt;=_TM1,B2674&lt;=_TM2,OR(TH!L2659="1111",TH!M2659="1111")),TH!D2659,""),"")</f>
        <v/>
      </c>
      <c r="B2674" s="36">
        <f t="shared" si="143"/>
        <v>12</v>
      </c>
      <c r="C2674" s="184">
        <f t="shared" si="140"/>
        <v>42725</v>
      </c>
      <c r="D2674" s="184" t="s">
        <v>1579</v>
      </c>
      <c r="E2674" s="191">
        <v>42725</v>
      </c>
      <c r="F2674" s="291" t="s">
        <v>1535</v>
      </c>
      <c r="G2674" s="456" t="s">
        <v>1534</v>
      </c>
      <c r="H2674" s="7" t="s">
        <v>1581</v>
      </c>
      <c r="I2674" s="256">
        <v>64</v>
      </c>
      <c r="J2674" s="256">
        <v>9195.7527320369991</v>
      </c>
      <c r="K2674" s="38">
        <f t="shared" si="142"/>
        <v>588528</v>
      </c>
      <c r="L2674" s="566" t="s">
        <v>167</v>
      </c>
      <c r="M2674" s="566" t="s">
        <v>165</v>
      </c>
      <c r="N2674" s="52" t="str">
        <f>IF(AND('331-CT'!$E$7=TH!H2674,OR(L2674="331",M2674="331")),"331",IF(AND(OR(L2674="131",M2674="131"),H2674='131-CT'!$E$7),"131",""))</f>
        <v/>
      </c>
      <c r="O2674" s="857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0"/>
      <c r="AC2674" s="557"/>
    </row>
    <row r="2675" spans="1:30" s="211" customFormat="1" ht="15.75" customHeight="1">
      <c r="A2675" s="204" t="str">
        <f>IF(B2675&lt;&gt;"",IF(AND(B2675&gt;=_TM1,B2675&lt;=_TM2,OR(TH!L2660="1111",TH!M2660="1111")),TH!D2660,""),"")</f>
        <v/>
      </c>
      <c r="B2675" s="36">
        <f t="shared" si="143"/>
        <v>12</v>
      </c>
      <c r="C2675" s="184">
        <f t="shared" si="140"/>
        <v>42726</v>
      </c>
      <c r="D2675" s="184" t="s">
        <v>1579</v>
      </c>
      <c r="E2675" s="191">
        <v>42726</v>
      </c>
      <c r="F2675" s="291" t="s">
        <v>1505</v>
      </c>
      <c r="G2675" s="456" t="s">
        <v>1537</v>
      </c>
      <c r="H2675" s="7" t="s">
        <v>1581</v>
      </c>
      <c r="I2675" s="256">
        <v>1939</v>
      </c>
      <c r="J2675" s="256">
        <v>7086.635132945943</v>
      </c>
      <c r="K2675" s="38">
        <f t="shared" si="142"/>
        <v>13740986</v>
      </c>
      <c r="L2675" s="566" t="s">
        <v>167</v>
      </c>
      <c r="M2675" s="566" t="s">
        <v>165</v>
      </c>
      <c r="N2675" s="52" t="str">
        <f>IF(AND('331-CT'!$E$7=TH!H2675,OR(L2675="331",M2675="331")),"331",IF(AND(OR(L2675="131",M2675="131"),H2675='131-CT'!$E$7),"131",""))</f>
        <v/>
      </c>
      <c r="O2675" s="857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790"/>
      <c r="AC2675" s="557"/>
      <c r="AD2675" s="557"/>
    </row>
    <row r="2676" spans="1:30" s="211" customFormat="1" ht="15.75" customHeight="1">
      <c r="A2676" s="204" t="str">
        <f>IF(B2676&lt;&gt;"",IF(AND(B2676&gt;=_TM1,B2676&lt;=_TM2,OR(TH!L2661="1111",TH!M2661="1111")),TH!D2661,""),"")</f>
        <v/>
      </c>
      <c r="B2676" s="36">
        <f t="shared" si="143"/>
        <v>12</v>
      </c>
      <c r="C2676" s="184">
        <f t="shared" si="140"/>
        <v>42726</v>
      </c>
      <c r="D2676" s="184" t="s">
        <v>1579</v>
      </c>
      <c r="E2676" s="191">
        <v>42726</v>
      </c>
      <c r="F2676" s="291" t="s">
        <v>1440</v>
      </c>
      <c r="G2676" s="456" t="s">
        <v>1538</v>
      </c>
      <c r="H2676" s="7" t="s">
        <v>1581</v>
      </c>
      <c r="I2676" s="256">
        <v>208</v>
      </c>
      <c r="J2676" s="256">
        <v>8689.5645082551455</v>
      </c>
      <c r="K2676" s="38">
        <f t="shared" si="142"/>
        <v>1807429</v>
      </c>
      <c r="L2676" s="566" t="s">
        <v>167</v>
      </c>
      <c r="M2676" s="566" t="s">
        <v>165</v>
      </c>
      <c r="N2676" s="52" t="str">
        <f>IF(AND('331-CT'!$E$7=TH!H2676,OR(L2676="331",M2676="331")),"331",IF(AND(OR(L2676="131",M2676="131"),H2676='131-CT'!$E$7),"131",""))</f>
        <v/>
      </c>
      <c r="O2676" s="857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90"/>
      <c r="AC2676" s="557"/>
    </row>
    <row r="2677" spans="1:30" s="211" customFormat="1" ht="15.75" customHeight="1">
      <c r="A2677" s="204" t="str">
        <f>IF(B2677&lt;&gt;"",IF(AND(B2677&gt;=_TM1,B2677&lt;=_TM2,OR(TH!L2662="1111",TH!M2662="1111")),TH!D2662,""),"")</f>
        <v/>
      </c>
      <c r="B2677" s="36">
        <f t="shared" si="143"/>
        <v>12</v>
      </c>
      <c r="C2677" s="184">
        <f t="shared" si="140"/>
        <v>42726</v>
      </c>
      <c r="D2677" s="184" t="s">
        <v>1579</v>
      </c>
      <c r="E2677" s="191">
        <v>42726</v>
      </c>
      <c r="F2677" s="291" t="s">
        <v>1437</v>
      </c>
      <c r="G2677" s="456" t="s">
        <v>1538</v>
      </c>
      <c r="H2677" s="7" t="s">
        <v>1581</v>
      </c>
      <c r="I2677" s="256">
        <v>205</v>
      </c>
      <c r="J2677" s="256">
        <v>7845.9174686187234</v>
      </c>
      <c r="K2677" s="38">
        <f t="shared" si="142"/>
        <v>1608413</v>
      </c>
      <c r="L2677" s="566" t="s">
        <v>167</v>
      </c>
      <c r="M2677" s="566" t="s">
        <v>165</v>
      </c>
      <c r="N2677" s="52" t="str">
        <f>IF(AND('331-CT'!$E$7=TH!H2677,OR(L2677="331",M2677="331")),"331",IF(AND(OR(L2677="131",M2677="131"),H2677='131-CT'!$E$7),"131",""))</f>
        <v/>
      </c>
      <c r="O2677" s="857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90"/>
      <c r="AC2677" s="557"/>
    </row>
    <row r="2678" spans="1:30" s="211" customFormat="1" ht="15.75" customHeight="1">
      <c r="A2678" s="204" t="str">
        <f>IF(B2678&lt;&gt;"",IF(AND(B2678&gt;=_TM1,B2678&lt;=_TM2,OR(TH!L2663="1111",TH!M2663="1111")),TH!D2663,""),"")</f>
        <v/>
      </c>
      <c r="B2678" s="36">
        <f t="shared" si="143"/>
        <v>12</v>
      </c>
      <c r="C2678" s="184">
        <f t="shared" si="140"/>
        <v>42726</v>
      </c>
      <c r="D2678" s="184" t="s">
        <v>1579</v>
      </c>
      <c r="E2678" s="191">
        <v>42726</v>
      </c>
      <c r="F2678" s="291" t="s">
        <v>1539</v>
      </c>
      <c r="G2678" s="456" t="s">
        <v>1538</v>
      </c>
      <c r="H2678" s="7" t="s">
        <v>1581</v>
      </c>
      <c r="I2678" s="256">
        <v>25</v>
      </c>
      <c r="J2678" s="256">
        <v>11389.235035091697</v>
      </c>
      <c r="K2678" s="38">
        <f t="shared" si="142"/>
        <v>284731</v>
      </c>
      <c r="L2678" s="566" t="s">
        <v>167</v>
      </c>
      <c r="M2678" s="566" t="s">
        <v>165</v>
      </c>
      <c r="N2678" s="52" t="str">
        <f>IF(AND('331-CT'!$E$7=TH!H2678,OR(L2678="331",M2678="331")),"331",IF(AND(OR(L2678="131",M2678="131"),H2678='131-CT'!$E$7),"131",""))</f>
        <v/>
      </c>
      <c r="O2678" s="857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90"/>
      <c r="AC2678" s="557"/>
      <c r="AD2678" s="557"/>
    </row>
    <row r="2679" spans="1:30" s="211" customFormat="1" ht="15.75" customHeight="1">
      <c r="A2679" s="204" t="str">
        <f>IF(B2679&lt;&gt;"",IF(AND(B2679&gt;=_TM1,B2679&lt;=_TM2,OR(TH!L2664="1111",TH!M2664="1111")),TH!D2664,""),"")</f>
        <v/>
      </c>
      <c r="B2679" s="36">
        <f t="shared" si="143"/>
        <v>12</v>
      </c>
      <c r="C2679" s="184">
        <f t="shared" si="140"/>
        <v>42728</v>
      </c>
      <c r="D2679" s="184" t="s">
        <v>1579</v>
      </c>
      <c r="E2679" s="191">
        <v>42728</v>
      </c>
      <c r="F2679" s="291" t="s">
        <v>1505</v>
      </c>
      <c r="G2679" s="456" t="s">
        <v>1540</v>
      </c>
      <c r="H2679" s="7" t="s">
        <v>1581</v>
      </c>
      <c r="I2679" s="256">
        <v>2400</v>
      </c>
      <c r="J2679" s="256">
        <v>7086.635132945943</v>
      </c>
      <c r="K2679" s="38">
        <f t="shared" si="142"/>
        <v>17007924</v>
      </c>
      <c r="L2679" s="566" t="s">
        <v>167</v>
      </c>
      <c r="M2679" s="566" t="s">
        <v>165</v>
      </c>
      <c r="N2679" s="52" t="str">
        <f>IF(AND('331-CT'!$E$7=TH!H2679,OR(L2679="331",M2679="331")),"331",IF(AND(OR(L2679="131",M2679="131"),H2679='131-CT'!$E$7),"131",""))</f>
        <v/>
      </c>
      <c r="O2679" s="857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90"/>
      <c r="AC2679" s="557"/>
    </row>
    <row r="2680" spans="1:30" s="211" customFormat="1" ht="15.75" customHeight="1">
      <c r="A2680" s="204" t="str">
        <f>IF(B2680&lt;&gt;"",IF(AND(B2680&gt;=_TM1,B2680&lt;=_TM2,OR(TH!L2665="1111",TH!M2665="1111")),TH!D2665,""),"")</f>
        <v/>
      </c>
      <c r="B2680" s="36">
        <f t="shared" si="143"/>
        <v>12</v>
      </c>
      <c r="C2680" s="184">
        <f t="shared" si="140"/>
        <v>42731</v>
      </c>
      <c r="D2680" s="184" t="s">
        <v>1579</v>
      </c>
      <c r="E2680" s="191">
        <v>42731</v>
      </c>
      <c r="F2680" s="291" t="s">
        <v>1505</v>
      </c>
      <c r="G2680" s="456" t="s">
        <v>1541</v>
      </c>
      <c r="H2680" s="7" t="s">
        <v>1581</v>
      </c>
      <c r="I2680" s="256">
        <v>2030</v>
      </c>
      <c r="J2680" s="256">
        <v>7086.635132945943</v>
      </c>
      <c r="K2680" s="38">
        <f t="shared" si="142"/>
        <v>14385869</v>
      </c>
      <c r="L2680" s="566" t="s">
        <v>167</v>
      </c>
      <c r="M2680" s="566" t="s">
        <v>165</v>
      </c>
      <c r="N2680" s="52" t="str">
        <f>IF(AND('331-CT'!$E$7=TH!H2680,OR(L2680="331",M2680="331")),"331",IF(AND(OR(L2680="131",M2680="131"),H2680='131-CT'!$E$7),"131",""))</f>
        <v/>
      </c>
      <c r="O2680" s="857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90"/>
    </row>
    <row r="2681" spans="1:30" s="211" customFormat="1" ht="15.75" customHeight="1">
      <c r="A2681" s="204" t="str">
        <f>IF(B2681&lt;&gt;"",IF(AND(B2681&gt;=_TM1,B2681&lt;=_TM2,OR(TH!L2666="1111",TH!M2666="1111")),TH!D2666,""),"")</f>
        <v/>
      </c>
      <c r="B2681" s="36">
        <f t="shared" si="143"/>
        <v>12</v>
      </c>
      <c r="C2681" s="184">
        <f t="shared" si="140"/>
        <v>42732</v>
      </c>
      <c r="D2681" s="184" t="s">
        <v>1579</v>
      </c>
      <c r="E2681" s="191">
        <v>42732</v>
      </c>
      <c r="F2681" s="291" t="s">
        <v>1419</v>
      </c>
      <c r="G2681" s="456" t="s">
        <v>1542</v>
      </c>
      <c r="H2681" s="7" t="s">
        <v>1581</v>
      </c>
      <c r="I2681" s="256">
        <v>509</v>
      </c>
      <c r="J2681" s="256">
        <v>8099.0115805096493</v>
      </c>
      <c r="K2681" s="38">
        <f t="shared" si="142"/>
        <v>4122397</v>
      </c>
      <c r="L2681" s="566" t="s">
        <v>167</v>
      </c>
      <c r="M2681" s="566" t="s">
        <v>165</v>
      </c>
      <c r="N2681" s="52" t="str">
        <f>IF(AND('331-CT'!$E$7=TH!H2681,OR(L2681="331",M2681="331")),"331",IF(AND(OR(L2681="131",M2681="131"),H2681='131-CT'!$E$7),"131",""))</f>
        <v/>
      </c>
      <c r="O2681" s="857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90"/>
    </row>
    <row r="2682" spans="1:30" s="211" customFormat="1" ht="15.75" customHeight="1">
      <c r="A2682" s="204" t="str">
        <f>IF(B2682&lt;&gt;"",IF(AND(B2682&gt;=_TM1,B2682&lt;=_TM2,OR(TH!L2667="1111",TH!M2667="1111")),TH!D2667,""),"")</f>
        <v/>
      </c>
      <c r="B2682" s="36">
        <f t="shared" si="143"/>
        <v>12</v>
      </c>
      <c r="C2682" s="184">
        <f t="shared" si="140"/>
        <v>42732</v>
      </c>
      <c r="D2682" s="184" t="s">
        <v>1579</v>
      </c>
      <c r="E2682" s="191">
        <v>42732</v>
      </c>
      <c r="F2682" s="291" t="s">
        <v>1286</v>
      </c>
      <c r="G2682" s="456" t="s">
        <v>1543</v>
      </c>
      <c r="H2682" s="7" t="s">
        <v>1581</v>
      </c>
      <c r="I2682" s="256">
        <v>1049</v>
      </c>
      <c r="J2682" s="256">
        <v>6917.9057250186588</v>
      </c>
      <c r="K2682" s="38">
        <f t="shared" si="142"/>
        <v>7256883</v>
      </c>
      <c r="L2682" s="566" t="s">
        <v>167</v>
      </c>
      <c r="M2682" s="566" t="s">
        <v>165</v>
      </c>
      <c r="N2682" s="52" t="str">
        <f>IF(AND('331-CT'!$E$7=TH!H2682,OR(L2682="331",M2682="331")),"331",IF(AND(OR(L2682="131",M2682="131"),H2682='131-CT'!$E$7),"131",""))</f>
        <v/>
      </c>
      <c r="O2682" s="857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90"/>
    </row>
    <row r="2683" spans="1:30" s="211" customFormat="1" ht="15.75" customHeight="1">
      <c r="A2683" s="204" t="str">
        <f>IF(B2683&lt;&gt;"",IF(AND(B2683&gt;=_TM1,B2683&lt;=_TM2,OR(TH!L2668="1111",TH!M2668="1111")),TH!D2668,""),"")</f>
        <v/>
      </c>
      <c r="B2683" s="36">
        <f t="shared" si="143"/>
        <v>12</v>
      </c>
      <c r="C2683" s="184">
        <f t="shared" si="140"/>
        <v>42732</v>
      </c>
      <c r="D2683" s="184" t="s">
        <v>1579</v>
      </c>
      <c r="E2683" s="191">
        <v>42732</v>
      </c>
      <c r="F2683" s="291" t="s">
        <v>1287</v>
      </c>
      <c r="G2683" s="456" t="s">
        <v>1543</v>
      </c>
      <c r="H2683" s="7" t="s">
        <v>1581</v>
      </c>
      <c r="I2683" s="256">
        <v>504</v>
      </c>
      <c r="J2683" s="256">
        <v>7677.1880606914392</v>
      </c>
      <c r="K2683" s="38">
        <f t="shared" si="142"/>
        <v>3869303</v>
      </c>
      <c r="L2683" s="566" t="s">
        <v>167</v>
      </c>
      <c r="M2683" s="566" t="s">
        <v>165</v>
      </c>
      <c r="N2683" s="52" t="str">
        <f>IF(AND('331-CT'!$E$7=TH!H2683,OR(L2683="331",M2683="331")),"331",IF(AND(OR(L2683="131",M2683="131"),H2683='131-CT'!$E$7),"131",""))</f>
        <v/>
      </c>
      <c r="O2683" s="857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90"/>
    </row>
    <row r="2684" spans="1:30" s="211" customFormat="1" ht="15.75" customHeight="1">
      <c r="A2684" s="204" t="str">
        <f>IF(B2684&lt;&gt;"",IF(AND(B2684&gt;=_TM1,B2684&lt;=_TM2,OR(TH!L2811="1111",TH!M2811="1111")),TH!D2811,""),"")</f>
        <v/>
      </c>
      <c r="B2684" s="36">
        <f t="shared" si="143"/>
        <v>12</v>
      </c>
      <c r="C2684" s="184">
        <f t="shared" si="140"/>
        <v>42734</v>
      </c>
      <c r="D2684" s="184" t="s">
        <v>1579</v>
      </c>
      <c r="E2684" s="191">
        <v>42734</v>
      </c>
      <c r="F2684" s="189" t="s">
        <v>430</v>
      </c>
      <c r="G2684" s="456" t="s">
        <v>1544</v>
      </c>
      <c r="H2684" s="7" t="s">
        <v>1581</v>
      </c>
      <c r="I2684" s="256">
        <v>540</v>
      </c>
      <c r="J2684" s="256">
        <v>8014.6468765460077</v>
      </c>
      <c r="K2684" s="38">
        <f t="shared" si="142"/>
        <v>4327909</v>
      </c>
      <c r="L2684" s="566" t="s">
        <v>167</v>
      </c>
      <c r="M2684" s="566" t="s">
        <v>165</v>
      </c>
      <c r="N2684" s="52" t="str">
        <f>IF(AND('331-CT'!$E$7=TH!H2684,OR(L2684="331",M2684="331")),"331",IF(AND(OR(L2684="131",M2684="131"),H2684='131-CT'!$E$7),"131",""))</f>
        <v/>
      </c>
      <c r="O2684" s="857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90"/>
      <c r="AC2684" s="557"/>
      <c r="AD2684" s="557"/>
    </row>
    <row r="2685" spans="1:30" s="827" customFormat="1" ht="15.75" customHeight="1">
      <c r="A2685" s="924" t="str">
        <f>IF(B2685&lt;&gt;"",IF(AND(B2685&gt;=_TM1,B2685&lt;=_TM2,OR(TH!L2812="1111",TH!M2812="1111")),TH!D2812,""),"")</f>
        <v/>
      </c>
      <c r="B2685" s="818">
        <f t="shared" si="143"/>
        <v>1</v>
      </c>
      <c r="C2685" s="819">
        <f t="shared" si="140"/>
        <v>42373</v>
      </c>
      <c r="D2685" s="819" t="s">
        <v>1580</v>
      </c>
      <c r="E2685" s="890">
        <v>42373</v>
      </c>
      <c r="F2685" s="934" t="s">
        <v>512</v>
      </c>
      <c r="G2685" s="925" t="s">
        <v>859</v>
      </c>
      <c r="H2685" s="823" t="s">
        <v>1328</v>
      </c>
      <c r="I2685" s="824">
        <v>695</v>
      </c>
      <c r="J2685" s="824">
        <v>10512.108116819038</v>
      </c>
      <c r="K2685" s="868">
        <f t="shared" si="142"/>
        <v>7305915</v>
      </c>
      <c r="L2685" s="931" t="s">
        <v>172</v>
      </c>
      <c r="M2685" s="931" t="s">
        <v>167</v>
      </c>
      <c r="N2685" s="52" t="str">
        <f>IF(AND('331-CT'!$E$7=TH!H2685,OR(L2685="331",M2685="331")),"331",IF(AND(OR(L2685="131",M2685="131"),H2685='131-CT'!$E$7),"131",""))</f>
        <v/>
      </c>
      <c r="O2685" s="857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928"/>
      <c r="AC2685" s="826"/>
      <c r="AD2685" s="826"/>
    </row>
    <row r="2686" spans="1:30" s="900" customFormat="1" ht="15.75" customHeight="1">
      <c r="A2686" s="895" t="str">
        <f>IF(B2686&lt;&gt;"",IF(AND(B2686&gt;=_TM1,B2686&lt;=_TM2,OR(TH!L2813="1111",TH!M2813="1111")),TH!D2813,""),"")</f>
        <v/>
      </c>
      <c r="B2686" s="896">
        <f t="shared" si="143"/>
        <v>1</v>
      </c>
      <c r="C2686" s="897">
        <f t="shared" si="140"/>
        <v>42373</v>
      </c>
      <c r="D2686" s="897" t="s">
        <v>1580</v>
      </c>
      <c r="E2686" s="963">
        <v>42373</v>
      </c>
      <c r="F2686" s="49" t="s">
        <v>434</v>
      </c>
      <c r="G2686" s="49" t="s">
        <v>859</v>
      </c>
      <c r="H2686" s="965" t="s">
        <v>1328</v>
      </c>
      <c r="I2686" s="254">
        <v>2840</v>
      </c>
      <c r="J2686" s="254">
        <v>8760.0904929577464</v>
      </c>
      <c r="K2686" s="51">
        <f t="shared" si="142"/>
        <v>24878657</v>
      </c>
      <c r="L2686" s="966" t="s">
        <v>172</v>
      </c>
      <c r="M2686" s="966" t="s">
        <v>167</v>
      </c>
      <c r="N2686" s="52" t="str">
        <f>IF(AND('331-CT'!$E$7=TH!H2686,OR(L2686="331",M2686="331")),"331",IF(AND(OR(L2686="131",M2686="131"),H2686='131-CT'!$E$7),"131",""))</f>
        <v/>
      </c>
      <c r="O2686" s="857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65"/>
      <c r="AC2686" s="899"/>
    </row>
    <row r="2687" spans="1:30" s="900" customFormat="1" ht="15.75" customHeight="1">
      <c r="A2687" s="895" t="str">
        <f>IF(B2687&lt;&gt;"",IF(AND(B2687&gt;=_TM1,B2687&lt;=_TM2,OR(TH!L2669="1111",TH!M2669="1111")),TH!D2669,""),"")</f>
        <v/>
      </c>
      <c r="B2687" s="896">
        <f t="shared" si="143"/>
        <v>1</v>
      </c>
      <c r="C2687" s="897">
        <f t="shared" ref="C2687:C2750" si="144">E2687</f>
        <v>42373</v>
      </c>
      <c r="D2687" s="897" t="s">
        <v>1580</v>
      </c>
      <c r="E2687" s="963">
        <v>42373</v>
      </c>
      <c r="F2687" s="967" t="s">
        <v>894</v>
      </c>
      <c r="G2687" s="49" t="s">
        <v>895</v>
      </c>
      <c r="H2687" s="965" t="s">
        <v>1328</v>
      </c>
      <c r="I2687" s="968">
        <v>500</v>
      </c>
      <c r="J2687" s="254">
        <v>7425.2219999999998</v>
      </c>
      <c r="K2687" s="51">
        <f t="shared" si="142"/>
        <v>3712611</v>
      </c>
      <c r="L2687" s="966" t="s">
        <v>172</v>
      </c>
      <c r="M2687" s="966" t="s">
        <v>167</v>
      </c>
      <c r="N2687" s="52" t="str">
        <f>IF(AND('331-CT'!$E$7=TH!H2687,OR(L2687="331",M2687="331")),"331",IF(AND(OR(L2687="131",M2687="131"),H2687='131-CT'!$E$7),"131",""))</f>
        <v/>
      </c>
      <c r="O2687" s="857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65"/>
      <c r="AC2687" s="899"/>
      <c r="AD2687" s="899"/>
    </row>
    <row r="2688" spans="1:30" s="900" customFormat="1" ht="15.75" customHeight="1">
      <c r="A2688" s="895" t="str">
        <f>IF(B2688&lt;&gt;"",IF(AND(B2688&gt;=_TM1,B2688&lt;=_TM2,OR(TH!L2670="1111",TH!M2670="1111")),TH!D2670,""),"")</f>
        <v/>
      </c>
      <c r="B2688" s="896">
        <f t="shared" si="143"/>
        <v>1</v>
      </c>
      <c r="C2688" s="897">
        <f t="shared" si="144"/>
        <v>42374</v>
      </c>
      <c r="D2688" s="897" t="s">
        <v>1580</v>
      </c>
      <c r="E2688" s="963">
        <v>42374</v>
      </c>
      <c r="F2688" s="49" t="s">
        <v>1474</v>
      </c>
      <c r="G2688" s="49" t="s">
        <v>896</v>
      </c>
      <c r="H2688" s="965" t="s">
        <v>1328</v>
      </c>
      <c r="I2688" s="968">
        <v>716</v>
      </c>
      <c r="J2688" s="254">
        <v>7925.7974860335198</v>
      </c>
      <c r="K2688" s="51">
        <f t="shared" ref="K2688:K2751" si="145">ROUND(I2688*J2688,0)</f>
        <v>5674871</v>
      </c>
      <c r="L2688" s="966" t="s">
        <v>172</v>
      </c>
      <c r="M2688" s="966" t="s">
        <v>167</v>
      </c>
      <c r="N2688" s="52" t="str">
        <f>IF(AND('331-CT'!$E$7=TH!H2688,OR(L2688="331",M2688="331")),"331",IF(AND(OR(L2688="131",M2688="131"),H2688='131-CT'!$E$7),"131",""))</f>
        <v/>
      </c>
      <c r="O2688" s="857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65"/>
      <c r="AC2688" s="899"/>
    </row>
    <row r="2689" spans="1:30" s="900" customFormat="1" ht="15.75" customHeight="1">
      <c r="A2689" s="895" t="str">
        <f>IF(B2689&lt;&gt;"",IF(AND(B2689&gt;=_TM1,B2689&lt;=_TM2,OR(TH!L2671="1111",TH!M2671="1111")),TH!D2671,""),"")</f>
        <v/>
      </c>
      <c r="B2689" s="896">
        <f t="shared" si="143"/>
        <v>1</v>
      </c>
      <c r="C2689" s="897">
        <f t="shared" si="144"/>
        <v>42374</v>
      </c>
      <c r="D2689" s="897" t="s">
        <v>1580</v>
      </c>
      <c r="E2689" s="963">
        <v>42374</v>
      </c>
      <c r="F2689" s="967" t="s">
        <v>1474</v>
      </c>
      <c r="G2689" s="49" t="s">
        <v>896</v>
      </c>
      <c r="H2689" s="965" t="s">
        <v>1328</v>
      </c>
      <c r="I2689" s="254">
        <v>732</v>
      </c>
      <c r="J2689" s="254">
        <v>8092.654661360687</v>
      </c>
      <c r="K2689" s="51">
        <f t="shared" si="145"/>
        <v>5923823</v>
      </c>
      <c r="L2689" s="966" t="s">
        <v>172</v>
      </c>
      <c r="M2689" s="966" t="s">
        <v>167</v>
      </c>
      <c r="N2689" s="52" t="str">
        <f>IF(AND('331-CT'!$E$7=TH!H2689,OR(L2689="331",M2689="331")),"331",IF(AND(OR(L2689="131",M2689="131"),H2689='131-CT'!$E$7),"131",""))</f>
        <v/>
      </c>
      <c r="O2689" s="857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65"/>
      <c r="AC2689" s="899"/>
    </row>
    <row r="2690" spans="1:30" s="900" customFormat="1" ht="15.75" customHeight="1">
      <c r="A2690" s="895" t="str">
        <f>IF(B2690&lt;&gt;"",IF(AND(B2690&gt;=_TM1,B2690&lt;=_TM2,OR(TH!L2672="1111",TH!M2672="1111")),TH!D2672,""),"")</f>
        <v/>
      </c>
      <c r="B2690" s="896">
        <f t="shared" si="143"/>
        <v>1</v>
      </c>
      <c r="C2690" s="897">
        <f t="shared" si="144"/>
        <v>42374</v>
      </c>
      <c r="D2690" s="897" t="s">
        <v>1580</v>
      </c>
      <c r="E2690" s="963">
        <v>42374</v>
      </c>
      <c r="F2690" s="967" t="s">
        <v>419</v>
      </c>
      <c r="G2690" s="49" t="s">
        <v>897</v>
      </c>
      <c r="H2690" s="965" t="s">
        <v>1328</v>
      </c>
      <c r="I2690" s="254">
        <v>626</v>
      </c>
      <c r="J2690" s="254">
        <v>6841.2132188822297</v>
      </c>
      <c r="K2690" s="51">
        <f t="shared" si="145"/>
        <v>4282599</v>
      </c>
      <c r="L2690" s="966" t="s">
        <v>172</v>
      </c>
      <c r="M2690" s="966" t="s">
        <v>167</v>
      </c>
      <c r="N2690" s="52" t="str">
        <f>IF(AND('331-CT'!$E$7=TH!H2690,OR(L2690="331",M2690="331")),"331",IF(AND(OR(L2690="131",M2690="131"),H2690='131-CT'!$E$7),"131",""))</f>
        <v/>
      </c>
      <c r="O2690" s="857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65"/>
      <c r="AC2690" s="899"/>
      <c r="AD2690" s="899"/>
    </row>
    <row r="2691" spans="1:30" s="900" customFormat="1" ht="15.75" customHeight="1">
      <c r="A2691" s="895" t="str">
        <f>IF(B2691&lt;&gt;"",IF(AND(B2691&gt;=_TM1,B2691&lt;=_TM2,OR(TH!L2673="1111",TH!M2673="1111")),TH!D2673,""),"")</f>
        <v/>
      </c>
      <c r="B2691" s="896">
        <f t="shared" si="143"/>
        <v>1</v>
      </c>
      <c r="C2691" s="897">
        <f t="shared" si="144"/>
        <v>42374</v>
      </c>
      <c r="D2691" s="897" t="s">
        <v>1580</v>
      </c>
      <c r="E2691" s="897">
        <v>42374</v>
      </c>
      <c r="F2691" s="967" t="s">
        <v>422</v>
      </c>
      <c r="G2691" s="969" t="s">
        <v>897</v>
      </c>
      <c r="H2691" s="965" t="s">
        <v>1328</v>
      </c>
      <c r="I2691" s="254">
        <v>613</v>
      </c>
      <c r="J2691" s="254">
        <v>8092.654661360687</v>
      </c>
      <c r="K2691" s="51">
        <f t="shared" si="145"/>
        <v>4960797</v>
      </c>
      <c r="L2691" s="966" t="s">
        <v>172</v>
      </c>
      <c r="M2691" s="966" t="s">
        <v>167</v>
      </c>
      <c r="N2691" s="52" t="str">
        <f>IF(AND('331-CT'!$E$7=TH!H2691,OR(L2691="331",M2691="331")),"331",IF(AND(OR(L2691="131",M2691="131"),H2691='131-CT'!$E$7),"131",""))</f>
        <v/>
      </c>
      <c r="O2691" s="857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65"/>
      <c r="AC2691" s="899"/>
    </row>
    <row r="2692" spans="1:30" s="900" customFormat="1" ht="15.75" customHeight="1">
      <c r="A2692" s="895" t="str">
        <f>IF(B2692&lt;&gt;"",IF(AND(B2692&gt;=_TM1,B2692&lt;=_TM2,OR(TH!L2674="1111",TH!M2674="1111")),TH!D2674,""),"")</f>
        <v/>
      </c>
      <c r="B2692" s="896">
        <f t="shared" si="143"/>
        <v>1</v>
      </c>
      <c r="C2692" s="897">
        <f t="shared" si="144"/>
        <v>42374</v>
      </c>
      <c r="D2692" s="897" t="s">
        <v>1580</v>
      </c>
      <c r="E2692" s="963">
        <v>42374</v>
      </c>
      <c r="F2692" s="49" t="s">
        <v>624</v>
      </c>
      <c r="G2692" s="49" t="s">
        <v>897</v>
      </c>
      <c r="H2692" s="965" t="s">
        <v>1328</v>
      </c>
      <c r="I2692" s="254">
        <v>612</v>
      </c>
      <c r="J2692" s="254">
        <v>7508.6486548707408</v>
      </c>
      <c r="K2692" s="51">
        <f t="shared" si="145"/>
        <v>4595293</v>
      </c>
      <c r="L2692" s="966" t="s">
        <v>172</v>
      </c>
      <c r="M2692" s="966" t="s">
        <v>167</v>
      </c>
      <c r="N2692" s="52" t="str">
        <f>IF(AND('331-CT'!$E$7=TH!H2692,OR(L2692="331",M2692="331")),"331",IF(AND(OR(L2692="131",M2692="131"),H2692='131-CT'!$E$7),"131",""))</f>
        <v/>
      </c>
      <c r="O2692" s="857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65"/>
      <c r="AC2692" s="899"/>
    </row>
    <row r="2693" spans="1:30" s="900" customFormat="1" ht="15.75" customHeight="1">
      <c r="A2693" s="895" t="str">
        <f>IF(B2693&lt;&gt;"",IF(AND(B2693&gt;=_TM1,B2693&lt;=_TM2,OR(TH!L2675="1111",TH!M2675="1111")),TH!D2675,""),"")</f>
        <v/>
      </c>
      <c r="B2693" s="896">
        <f t="shared" si="143"/>
        <v>1</v>
      </c>
      <c r="C2693" s="897">
        <f t="shared" si="144"/>
        <v>42374</v>
      </c>
      <c r="D2693" s="897" t="s">
        <v>1580</v>
      </c>
      <c r="E2693" s="963">
        <v>42374</v>
      </c>
      <c r="F2693" s="967" t="s">
        <v>419</v>
      </c>
      <c r="G2693" s="49" t="s">
        <v>897</v>
      </c>
      <c r="H2693" s="965" t="s">
        <v>1328</v>
      </c>
      <c r="I2693" s="254">
        <v>905</v>
      </c>
      <c r="J2693" s="254">
        <v>6841.2132188822297</v>
      </c>
      <c r="K2693" s="51">
        <f t="shared" si="145"/>
        <v>6191298</v>
      </c>
      <c r="L2693" s="966" t="s">
        <v>172</v>
      </c>
      <c r="M2693" s="966" t="s">
        <v>167</v>
      </c>
      <c r="N2693" s="52" t="str">
        <f>IF(AND('331-CT'!$E$7=TH!H2693,OR(L2693="331",M2693="331")),"331",IF(AND(OR(L2693="131",M2693="131"),H2693='131-CT'!$E$7),"131",""))</f>
        <v/>
      </c>
      <c r="O2693" s="857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65"/>
      <c r="AC2693" s="899"/>
      <c r="AD2693" s="899"/>
    </row>
    <row r="2694" spans="1:30" s="900" customFormat="1" ht="15.75" customHeight="1">
      <c r="A2694" s="895" t="str">
        <f>IF(B2694&lt;&gt;"",IF(AND(B2694&gt;=_TM1,B2694&lt;=_TM2,OR(TH!L2660="1111",TH!M2660="1111")),TH!D2660,""),"")</f>
        <v/>
      </c>
      <c r="B2694" s="896">
        <f t="shared" ref="B2694:B2709" si="146">IF(C2694&lt;&gt;"",MONTH(C2694),"")</f>
        <v>1</v>
      </c>
      <c r="C2694" s="897">
        <f t="shared" si="144"/>
        <v>42374</v>
      </c>
      <c r="D2694" s="897" t="s">
        <v>1580</v>
      </c>
      <c r="E2694" s="963">
        <v>42374</v>
      </c>
      <c r="F2694" s="967" t="s">
        <v>444</v>
      </c>
      <c r="G2694" s="49" t="s">
        <v>897</v>
      </c>
      <c r="H2694" s="965" t="s">
        <v>1328</v>
      </c>
      <c r="I2694" s="254">
        <v>642</v>
      </c>
      <c r="J2694" s="254">
        <v>7592.0780843693046</v>
      </c>
      <c r="K2694" s="51">
        <f t="shared" si="145"/>
        <v>4874114</v>
      </c>
      <c r="L2694" s="966" t="s">
        <v>172</v>
      </c>
      <c r="M2694" s="966" t="s">
        <v>167</v>
      </c>
      <c r="N2694" s="52" t="str">
        <f>IF(AND('331-CT'!$E$7=TH!H2694,OR(L2694="331",M2694="331")),"331",IF(AND(OR(L2694="131",M2694="131"),H2694='131-CT'!$E$7),"131",""))</f>
        <v/>
      </c>
      <c r="O2694" s="857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65"/>
      <c r="AC2694" s="899"/>
    </row>
    <row r="2695" spans="1:30" s="900" customFormat="1" ht="15.75" customHeight="1">
      <c r="A2695" s="895" t="str">
        <f>IF(B2695&lt;&gt;"",IF(AND(B2695&gt;=_TM1,B2695&lt;=_TM2,OR(TH!L2661="1111",TH!M2661="1111")),TH!D2661,""),"")</f>
        <v/>
      </c>
      <c r="B2695" s="896">
        <f t="shared" si="146"/>
        <v>1</v>
      </c>
      <c r="C2695" s="897">
        <f t="shared" si="144"/>
        <v>42375</v>
      </c>
      <c r="D2695" s="897" t="s">
        <v>1580</v>
      </c>
      <c r="E2695" s="963">
        <v>42375</v>
      </c>
      <c r="F2695" s="967" t="s">
        <v>466</v>
      </c>
      <c r="G2695" s="49" t="s">
        <v>898</v>
      </c>
      <c r="H2695" s="965" t="s">
        <v>1328</v>
      </c>
      <c r="I2695" s="968">
        <v>1580</v>
      </c>
      <c r="J2695" s="254">
        <v>5673.2012059023382</v>
      </c>
      <c r="K2695" s="51">
        <f t="shared" si="145"/>
        <v>8963658</v>
      </c>
      <c r="L2695" s="966" t="s">
        <v>172</v>
      </c>
      <c r="M2695" s="966" t="s">
        <v>167</v>
      </c>
      <c r="N2695" s="52" t="str">
        <f>IF(AND('331-CT'!$E$7=TH!H2695,OR(L2695="331",M2695="331")),"331",IF(AND(OR(L2695="131",M2695="131"),H2695='131-CT'!$E$7),"131",""))</f>
        <v/>
      </c>
      <c r="O2695" s="857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65"/>
      <c r="AC2695" s="899"/>
    </row>
    <row r="2696" spans="1:30" s="900" customFormat="1" ht="15.75" customHeight="1">
      <c r="A2696" s="895" t="str">
        <f>IF(B2696&lt;&gt;"",IF(AND(B2696&gt;=_TM1,B2696&lt;=_TM2,OR(TH!L2662="1111",TH!M2662="1111")),TH!D2662,""),"")</f>
        <v/>
      </c>
      <c r="B2696" s="896">
        <f t="shared" si="146"/>
        <v>1</v>
      </c>
      <c r="C2696" s="897">
        <f t="shared" si="144"/>
        <v>42376</v>
      </c>
      <c r="D2696" s="897" t="s">
        <v>1580</v>
      </c>
      <c r="E2696" s="963">
        <v>42376</v>
      </c>
      <c r="F2696" s="967" t="s">
        <v>542</v>
      </c>
      <c r="G2696" s="49" t="s">
        <v>899</v>
      </c>
      <c r="H2696" s="965" t="s">
        <v>1328</v>
      </c>
      <c r="I2696" s="254">
        <v>358</v>
      </c>
      <c r="J2696" s="254">
        <v>4421.7597634238809</v>
      </c>
      <c r="K2696" s="51">
        <f t="shared" si="145"/>
        <v>1582990</v>
      </c>
      <c r="L2696" s="966" t="s">
        <v>172</v>
      </c>
      <c r="M2696" s="966" t="s">
        <v>167</v>
      </c>
      <c r="N2696" s="52" t="str">
        <f>IF(AND('331-CT'!$E$7=TH!H2696,OR(L2696="331",M2696="331")),"331",IF(AND(OR(L2696="131",M2696="131"),H2696='131-CT'!$E$7),"131",""))</f>
        <v/>
      </c>
      <c r="O2696" s="857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65"/>
    </row>
    <row r="2697" spans="1:30" s="900" customFormat="1" ht="15.75" customHeight="1">
      <c r="A2697" s="895" t="str">
        <f>IF(B2697&lt;&gt;"",IF(AND(B2697&gt;=_TM1,B2697&lt;=_TM2,OR(TH!L2663="1111",TH!M2663="1111")),TH!D2663,""),"")</f>
        <v/>
      </c>
      <c r="B2697" s="896">
        <f t="shared" si="146"/>
        <v>1</v>
      </c>
      <c r="C2697" s="897">
        <f t="shared" si="144"/>
        <v>42376</v>
      </c>
      <c r="D2697" s="897" t="s">
        <v>1580</v>
      </c>
      <c r="E2697" s="963">
        <v>42376</v>
      </c>
      <c r="F2697" s="967" t="s">
        <v>679</v>
      </c>
      <c r="G2697" s="49" t="s">
        <v>900</v>
      </c>
      <c r="H2697" s="965" t="s">
        <v>1328</v>
      </c>
      <c r="I2697" s="254">
        <v>203</v>
      </c>
      <c r="J2697" s="254">
        <v>13598.997008265897</v>
      </c>
      <c r="K2697" s="51">
        <f t="shared" si="145"/>
        <v>2760596</v>
      </c>
      <c r="L2697" s="966" t="s">
        <v>172</v>
      </c>
      <c r="M2697" s="966" t="s">
        <v>167</v>
      </c>
      <c r="N2697" s="52" t="str">
        <f>IF(AND('331-CT'!$E$7=TH!H2697,OR(L2697="331",M2697="331")),"331",IF(AND(OR(L2697="131",M2697="131"),H2697='131-CT'!$E$7),"131",""))</f>
        <v/>
      </c>
      <c r="O2697" s="857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65"/>
    </row>
    <row r="2698" spans="1:30" s="900" customFormat="1" ht="15.75" customHeight="1">
      <c r="A2698" s="895" t="str">
        <f>IF(B2698&lt;&gt;"",IF(AND(B2698&gt;=_TM1,B2698&lt;=_TM2,OR(TH!L2664="1111",TH!M2664="1111")),TH!D2664,""),"")</f>
        <v/>
      </c>
      <c r="B2698" s="896">
        <f t="shared" si="146"/>
        <v>1</v>
      </c>
      <c r="C2698" s="897">
        <f t="shared" si="144"/>
        <v>42376</v>
      </c>
      <c r="D2698" s="897" t="s">
        <v>1580</v>
      </c>
      <c r="E2698" s="963">
        <v>42376</v>
      </c>
      <c r="F2698" s="967" t="s">
        <v>680</v>
      </c>
      <c r="G2698" s="49" t="s">
        <v>900</v>
      </c>
      <c r="H2698" s="965" t="s">
        <v>1328</v>
      </c>
      <c r="I2698" s="254">
        <v>104</v>
      </c>
      <c r="J2698" s="254">
        <v>18604.762778179724</v>
      </c>
      <c r="K2698" s="51">
        <f t="shared" si="145"/>
        <v>1934895</v>
      </c>
      <c r="L2698" s="966" t="s">
        <v>172</v>
      </c>
      <c r="M2698" s="966" t="s">
        <v>167</v>
      </c>
      <c r="N2698" s="52" t="str">
        <f>IF(AND('331-CT'!$E$7=TH!H2698,OR(L2698="331",M2698="331")),"331",IF(AND(OR(L2698="131",M2698="131"),H2698='131-CT'!$E$7),"131",""))</f>
        <v/>
      </c>
      <c r="O2698" s="857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65"/>
    </row>
    <row r="2699" spans="1:30" s="900" customFormat="1" ht="15.75" customHeight="1">
      <c r="A2699" s="895" t="str">
        <f>IF(B2699&lt;&gt;"",IF(AND(B2699&gt;=_TM1,B2699&lt;=_TM2,OR(TH!L2665="1111",TH!M2665="1111")),TH!D2665,""),"")</f>
        <v/>
      </c>
      <c r="B2699" s="896">
        <f t="shared" si="146"/>
        <v>1</v>
      </c>
      <c r="C2699" s="897">
        <f t="shared" si="144"/>
        <v>42376</v>
      </c>
      <c r="D2699" s="897" t="s">
        <v>1580</v>
      </c>
      <c r="E2699" s="963">
        <v>42376</v>
      </c>
      <c r="F2699" s="967" t="s">
        <v>901</v>
      </c>
      <c r="G2699" s="49" t="s">
        <v>900</v>
      </c>
      <c r="H2699" s="965" t="s">
        <v>1328</v>
      </c>
      <c r="I2699" s="254">
        <v>20</v>
      </c>
      <c r="J2699" s="254">
        <v>12097.267277291749</v>
      </c>
      <c r="K2699" s="51">
        <f t="shared" si="145"/>
        <v>241945</v>
      </c>
      <c r="L2699" s="966" t="s">
        <v>172</v>
      </c>
      <c r="M2699" s="966" t="s">
        <v>167</v>
      </c>
      <c r="N2699" s="52" t="str">
        <f>IF(AND('331-CT'!$E$7=TH!H2699,OR(L2699="331",M2699="331")),"331",IF(AND(OR(L2699="131",M2699="131"),H2699='131-CT'!$E$7),"131",""))</f>
        <v/>
      </c>
      <c r="O2699" s="857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65"/>
    </row>
    <row r="2700" spans="1:30" s="900" customFormat="1" ht="15.75" customHeight="1">
      <c r="A2700" s="895" t="str">
        <f>IF(B2700&lt;&gt;"",IF(AND(B2700&gt;=_TM1,B2700&lt;=_TM2,OR(TH!L2666="1111",TH!M2666="1111")),TH!D2666,""),"")</f>
        <v/>
      </c>
      <c r="B2700" s="896">
        <f t="shared" si="146"/>
        <v>1</v>
      </c>
      <c r="C2700" s="897">
        <f t="shared" si="144"/>
        <v>42376</v>
      </c>
      <c r="D2700" s="897" t="s">
        <v>1580</v>
      </c>
      <c r="E2700" s="963">
        <v>42376</v>
      </c>
      <c r="F2700" s="967" t="s">
        <v>902</v>
      </c>
      <c r="G2700" s="49" t="s">
        <v>900</v>
      </c>
      <c r="H2700" s="965" t="s">
        <v>1328</v>
      </c>
      <c r="I2700" s="254">
        <v>23</v>
      </c>
      <c r="J2700" s="254">
        <v>13598.997008265897</v>
      </c>
      <c r="K2700" s="51">
        <f t="shared" si="145"/>
        <v>312777</v>
      </c>
      <c r="L2700" s="966" t="s">
        <v>172</v>
      </c>
      <c r="M2700" s="966" t="s">
        <v>167</v>
      </c>
      <c r="N2700" s="52" t="str">
        <f>IF(AND('331-CT'!$E$7=TH!H2700,OR(L2700="331",M2700="331")),"331",IF(AND(OR(L2700="131",M2700="131"),H2700='131-CT'!$E$7),"131",""))</f>
        <v/>
      </c>
      <c r="O2700" s="857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65"/>
      <c r="AC2700" s="899"/>
      <c r="AD2700" s="899"/>
    </row>
    <row r="2701" spans="1:30" s="900" customFormat="1" ht="15.75" customHeight="1">
      <c r="A2701" s="895" t="str">
        <f>IF(B2701&lt;&gt;"",IF(AND(B2701&gt;=_TM1,B2701&lt;=_TM2,OR(TH!L2667="1111",TH!M2667="1111")),TH!D2667,""),"")</f>
        <v/>
      </c>
      <c r="B2701" s="896">
        <f t="shared" si="146"/>
        <v>1</v>
      </c>
      <c r="C2701" s="897">
        <f t="shared" si="144"/>
        <v>42376</v>
      </c>
      <c r="D2701" s="897" t="s">
        <v>1580</v>
      </c>
      <c r="E2701" s="963">
        <v>42376</v>
      </c>
      <c r="F2701" s="967" t="s">
        <v>903</v>
      </c>
      <c r="G2701" s="49" t="s">
        <v>900</v>
      </c>
      <c r="H2701" s="965" t="s">
        <v>1328</v>
      </c>
      <c r="I2701" s="254">
        <v>22</v>
      </c>
      <c r="J2701" s="254">
        <v>15768.162175228555</v>
      </c>
      <c r="K2701" s="51">
        <f t="shared" si="145"/>
        <v>346900</v>
      </c>
      <c r="L2701" s="966" t="s">
        <v>172</v>
      </c>
      <c r="M2701" s="966" t="s">
        <v>167</v>
      </c>
      <c r="N2701" s="52" t="str">
        <f>IF(AND('331-CT'!$E$7=TH!H2701,OR(L2701="331",M2701="331")),"331",IF(AND(OR(L2701="131",M2701="131"),H2701='131-CT'!$E$7),"131",""))</f>
        <v/>
      </c>
      <c r="O2701" s="857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65"/>
      <c r="AC2701" s="899"/>
    </row>
    <row r="2702" spans="1:30" s="900" customFormat="1" ht="15.75" customHeight="1">
      <c r="A2702" s="895" t="str">
        <f>IF(B2702&lt;&gt;"",IF(AND(B2702&gt;=_TM1,B2702&lt;=_TM2,OR(TH!L2668="1111",TH!M2668="1111")),TH!D2668,""),"")</f>
        <v/>
      </c>
      <c r="B2702" s="896">
        <f t="shared" si="146"/>
        <v>1</v>
      </c>
      <c r="C2702" s="897">
        <f t="shared" si="144"/>
        <v>42376</v>
      </c>
      <c r="D2702" s="897" t="s">
        <v>1580</v>
      </c>
      <c r="E2702" s="963">
        <v>42376</v>
      </c>
      <c r="F2702" s="967" t="s">
        <v>904</v>
      </c>
      <c r="G2702" s="49" t="s">
        <v>900</v>
      </c>
      <c r="H2702" s="965" t="s">
        <v>1328</v>
      </c>
      <c r="I2702" s="254">
        <v>22</v>
      </c>
      <c r="J2702" s="254">
        <v>18771.621637176853</v>
      </c>
      <c r="K2702" s="51">
        <f t="shared" si="145"/>
        <v>412976</v>
      </c>
      <c r="L2702" s="966" t="s">
        <v>172</v>
      </c>
      <c r="M2702" s="966" t="s">
        <v>167</v>
      </c>
      <c r="N2702" s="52" t="str">
        <f>IF(AND('331-CT'!$E$7=TH!H2702,OR(L2702="331",M2702="331")),"331",IF(AND(OR(L2702="131",M2702="131"),H2702='131-CT'!$E$7),"131",""))</f>
        <v/>
      </c>
      <c r="O2702" s="857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65"/>
      <c r="AC2702" s="899"/>
    </row>
    <row r="2703" spans="1:30" s="900" customFormat="1" ht="15.75" customHeight="1">
      <c r="A2703" s="895" t="str">
        <f>IF(B2703&lt;&gt;"",IF(AND(B2703&gt;=_TM1,B2703&lt;=_TM2,OR(TH!L2669="1111",TH!M2669="1111")),TH!D2669,""),"")</f>
        <v/>
      </c>
      <c r="B2703" s="896">
        <f t="shared" si="146"/>
        <v>1</v>
      </c>
      <c r="C2703" s="897">
        <f t="shared" si="144"/>
        <v>42376</v>
      </c>
      <c r="D2703" s="897" t="s">
        <v>1580</v>
      </c>
      <c r="E2703" s="897">
        <v>42376</v>
      </c>
      <c r="F2703" s="967" t="s">
        <v>905</v>
      </c>
      <c r="G2703" s="969" t="s">
        <v>900</v>
      </c>
      <c r="H2703" s="965" t="s">
        <v>1328</v>
      </c>
      <c r="I2703" s="254">
        <v>21</v>
      </c>
      <c r="J2703" s="254">
        <v>23109.951971102168</v>
      </c>
      <c r="K2703" s="51">
        <f t="shared" si="145"/>
        <v>485309</v>
      </c>
      <c r="L2703" s="966" t="s">
        <v>172</v>
      </c>
      <c r="M2703" s="966" t="s">
        <v>167</v>
      </c>
      <c r="N2703" s="52" t="str">
        <f>IF(AND('331-CT'!$E$7=TH!H2703,OR(L2703="331",M2703="331")),"331",IF(AND(OR(L2703="131",M2703="131"),H2703='131-CT'!$E$7),"131",""))</f>
        <v/>
      </c>
      <c r="O2703" s="857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65"/>
      <c r="AC2703" s="899"/>
      <c r="AD2703" s="899"/>
    </row>
    <row r="2704" spans="1:30" s="900" customFormat="1" ht="15.75" customHeight="1">
      <c r="A2704" s="895" t="str">
        <f>IF(B2704&lt;&gt;"",IF(AND(B2704&gt;=_TM1,B2704&lt;=_TM2,OR(TH!L2670="1111",TH!M2670="1111")),TH!D2670,""),"")</f>
        <v/>
      </c>
      <c r="B2704" s="896">
        <f t="shared" si="146"/>
        <v>1</v>
      </c>
      <c r="C2704" s="897">
        <f t="shared" si="144"/>
        <v>42376</v>
      </c>
      <c r="D2704" s="897" t="s">
        <v>1580</v>
      </c>
      <c r="E2704" s="869">
        <v>42376</v>
      </c>
      <c r="F2704" s="870" t="s">
        <v>906</v>
      </c>
      <c r="G2704" s="871" t="s">
        <v>900</v>
      </c>
      <c r="H2704" s="965" t="s">
        <v>1328</v>
      </c>
      <c r="I2704" s="254">
        <v>22</v>
      </c>
      <c r="J2704" s="254">
        <v>25946.552574053338</v>
      </c>
      <c r="K2704" s="51">
        <f t="shared" si="145"/>
        <v>570824</v>
      </c>
      <c r="L2704" s="966" t="s">
        <v>172</v>
      </c>
      <c r="M2704" s="966" t="s">
        <v>167</v>
      </c>
      <c r="N2704" s="52" t="str">
        <f>IF(AND('331-CT'!$E$7=TH!H2704,OR(L2704="331",M2704="331")),"331",IF(AND(OR(L2704="131",M2704="131"),H2704='131-CT'!$E$7),"131",""))</f>
        <v/>
      </c>
      <c r="O2704" s="857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65"/>
      <c r="AC2704" s="899"/>
    </row>
    <row r="2705" spans="1:30" s="900" customFormat="1" ht="15.75" customHeight="1">
      <c r="A2705" s="895" t="str">
        <f>IF(B2705&lt;&gt;"",IF(AND(B2705&gt;=_TM1,B2705&lt;=_TM2,OR(TH!L2671="1111",TH!M2671="1111")),TH!D2671,""),"")</f>
        <v/>
      </c>
      <c r="B2705" s="896">
        <f t="shared" si="146"/>
        <v>1</v>
      </c>
      <c r="C2705" s="897">
        <f t="shared" si="144"/>
        <v>42376</v>
      </c>
      <c r="D2705" s="897" t="s">
        <v>1580</v>
      </c>
      <c r="E2705" s="869">
        <v>42376</v>
      </c>
      <c r="F2705" s="870" t="s">
        <v>907</v>
      </c>
      <c r="G2705" s="871" t="s">
        <v>900</v>
      </c>
      <c r="H2705" s="965" t="s">
        <v>1328</v>
      </c>
      <c r="I2705" s="254">
        <v>21</v>
      </c>
      <c r="J2705" s="254">
        <v>27197.994016531793</v>
      </c>
      <c r="K2705" s="51">
        <f t="shared" si="145"/>
        <v>571158</v>
      </c>
      <c r="L2705" s="966" t="s">
        <v>172</v>
      </c>
      <c r="M2705" s="966" t="s">
        <v>167</v>
      </c>
      <c r="N2705" s="52" t="str">
        <f>IF(AND('331-CT'!$E$7=TH!H2705,OR(L2705="331",M2705="331")),"331",IF(AND(OR(L2705="131",M2705="131"),H2705='131-CT'!$E$7),"131",""))</f>
        <v/>
      </c>
      <c r="O2705" s="857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65"/>
      <c r="AC2705" s="899"/>
    </row>
    <row r="2706" spans="1:30" s="900" customFormat="1" ht="15.75" customHeight="1">
      <c r="A2706" s="895" t="str">
        <f>IF(B2706&lt;&gt;"",IF(AND(B2706&gt;=_TM1,B2706&lt;=_TM2,OR(TH!L2672="1111",TH!M2672="1111")),TH!D2672,""),"")</f>
        <v/>
      </c>
      <c r="B2706" s="896">
        <f t="shared" si="146"/>
        <v>1</v>
      </c>
      <c r="C2706" s="897">
        <f t="shared" si="144"/>
        <v>42376</v>
      </c>
      <c r="D2706" s="897" t="s">
        <v>1580</v>
      </c>
      <c r="E2706" s="869">
        <v>42376</v>
      </c>
      <c r="F2706" s="870" t="s">
        <v>908</v>
      </c>
      <c r="G2706" s="871" t="s">
        <v>900</v>
      </c>
      <c r="H2706" s="965" t="s">
        <v>1328</v>
      </c>
      <c r="I2706" s="254">
        <v>24</v>
      </c>
      <c r="J2706" s="254">
        <v>34039.207235414025</v>
      </c>
      <c r="K2706" s="51">
        <f t="shared" si="145"/>
        <v>816941</v>
      </c>
      <c r="L2706" s="966" t="s">
        <v>172</v>
      </c>
      <c r="M2706" s="966" t="s">
        <v>167</v>
      </c>
      <c r="N2706" s="52" t="str">
        <f>IF(AND('331-CT'!$E$7=TH!H2706,OR(L2706="331",M2706="331")),"331",IF(AND(OR(L2706="131",M2706="131"),H2706='131-CT'!$E$7),"131",""))</f>
        <v/>
      </c>
      <c r="O2706" s="857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65"/>
      <c r="AC2706" s="899"/>
      <c r="AD2706" s="899"/>
    </row>
    <row r="2707" spans="1:30" s="900" customFormat="1" ht="15.75" customHeight="1">
      <c r="A2707" s="895" t="str">
        <f>IF(B2707&lt;&gt;"",IF(AND(B2707&gt;=_TM1,B2707&lt;=_TM2,OR(TH!L2673="1111",TH!M2673="1111")),TH!D2673,""),"")</f>
        <v/>
      </c>
      <c r="B2707" s="896">
        <f t="shared" si="146"/>
        <v>1</v>
      </c>
      <c r="C2707" s="897">
        <f t="shared" si="144"/>
        <v>42376</v>
      </c>
      <c r="D2707" s="897" t="s">
        <v>1580</v>
      </c>
      <c r="E2707" s="869">
        <v>42376</v>
      </c>
      <c r="F2707" s="870" t="s">
        <v>1236</v>
      </c>
      <c r="G2707" s="871" t="s">
        <v>909</v>
      </c>
      <c r="H2707" s="965" t="s">
        <v>1328</v>
      </c>
      <c r="I2707" s="254">
        <v>320</v>
      </c>
      <c r="J2707" s="254">
        <v>13098.420431274515</v>
      </c>
      <c r="K2707" s="51">
        <f t="shared" si="145"/>
        <v>4191495</v>
      </c>
      <c r="L2707" s="966" t="s">
        <v>172</v>
      </c>
      <c r="M2707" s="966" t="s">
        <v>167</v>
      </c>
      <c r="N2707" s="52" t="str">
        <f>IF(AND('331-CT'!$E$7=TH!H2707,OR(L2707="331",M2707="331")),"331",IF(AND(OR(L2707="131",M2707="131"),H2707='131-CT'!$E$7),"131",""))</f>
        <v/>
      </c>
      <c r="O2707" s="857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65"/>
      <c r="AC2707" s="899"/>
    </row>
    <row r="2708" spans="1:30" s="900" customFormat="1" ht="15.75" customHeight="1">
      <c r="A2708" s="895" t="str">
        <f>IF(B2708&lt;&gt;"",IF(AND(B2708&gt;=_TM1,B2708&lt;=_TM2,OR(TH!L2674="1111",TH!M2674="1111")),TH!D2674,""),"")</f>
        <v/>
      </c>
      <c r="B2708" s="896">
        <f t="shared" si="146"/>
        <v>1</v>
      </c>
      <c r="C2708" s="897">
        <f t="shared" si="144"/>
        <v>42376</v>
      </c>
      <c r="D2708" s="897" t="s">
        <v>1580</v>
      </c>
      <c r="E2708" s="869">
        <v>42376</v>
      </c>
      <c r="F2708" s="870" t="s">
        <v>1237</v>
      </c>
      <c r="G2708" s="871" t="s">
        <v>909</v>
      </c>
      <c r="H2708" s="965" t="s">
        <v>1328</v>
      </c>
      <c r="I2708" s="254">
        <v>280</v>
      </c>
      <c r="J2708" s="254">
        <v>7091.5015073779214</v>
      </c>
      <c r="K2708" s="51">
        <f t="shared" si="145"/>
        <v>1985620</v>
      </c>
      <c r="L2708" s="966" t="s">
        <v>172</v>
      </c>
      <c r="M2708" s="966" t="s">
        <v>167</v>
      </c>
      <c r="N2708" s="52" t="str">
        <f>IF(AND('331-CT'!$E$7=TH!H2708,OR(L2708="331",M2708="331")),"331",IF(AND(OR(L2708="131",M2708="131"),H2708='131-CT'!$E$7),"131",""))</f>
        <v/>
      </c>
      <c r="O2708" s="857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65"/>
      <c r="AC2708" s="899"/>
    </row>
    <row r="2709" spans="1:30" s="900" customFormat="1" ht="15.75" customHeight="1">
      <c r="A2709" s="895" t="str">
        <f>IF(B2709&lt;&gt;"",IF(AND(B2709&gt;=_TM1,B2709&lt;=_TM2,OR(TH!L2802="1111",TH!M2802="1111")),TH!D2802,""),"")</f>
        <v/>
      </c>
      <c r="B2709" s="896">
        <f t="shared" si="146"/>
        <v>1</v>
      </c>
      <c r="C2709" s="897">
        <f t="shared" si="144"/>
        <v>42376</v>
      </c>
      <c r="D2709" s="897" t="s">
        <v>1580</v>
      </c>
      <c r="E2709" s="48">
        <v>42376</v>
      </c>
      <c r="F2709" s="49" t="s">
        <v>1238</v>
      </c>
      <c r="G2709" s="49" t="s">
        <v>909</v>
      </c>
      <c r="H2709" s="965" t="s">
        <v>1328</v>
      </c>
      <c r="I2709" s="254">
        <v>211</v>
      </c>
      <c r="J2709" s="254">
        <v>7842.3663728649954</v>
      </c>
      <c r="K2709" s="51">
        <f t="shared" si="145"/>
        <v>1654739</v>
      </c>
      <c r="L2709" s="966" t="s">
        <v>172</v>
      </c>
      <c r="M2709" s="966" t="s">
        <v>167</v>
      </c>
      <c r="N2709" s="52" t="str">
        <f>IF(AND('331-CT'!$E$7=TH!H2709,OR(L2709="331",M2709="331")),"331",IF(AND(OR(L2709="131",M2709="131"),H2709='131-CT'!$E$7),"131",""))</f>
        <v/>
      </c>
      <c r="O2709" s="857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65"/>
      <c r="AC2709" s="899"/>
      <c r="AD2709" s="899"/>
    </row>
    <row r="2710" spans="1:30" s="900" customFormat="1" ht="15.75" customHeight="1">
      <c r="A2710" s="895" t="str">
        <f>IF(B2710&lt;&gt;"",IF(AND(B2710&gt;=_TM1,B2710&lt;=_TM2,OR(TH!L2676="1111",TH!M2676="1111")),TH!D2676,""),"")</f>
        <v/>
      </c>
      <c r="B2710" s="896">
        <f t="shared" si="143"/>
        <v>1</v>
      </c>
      <c r="C2710" s="897">
        <f t="shared" si="144"/>
        <v>42376</v>
      </c>
      <c r="D2710" s="897" t="s">
        <v>1580</v>
      </c>
      <c r="E2710" s="48">
        <v>42376</v>
      </c>
      <c r="F2710" s="49" t="s">
        <v>1239</v>
      </c>
      <c r="G2710" s="49" t="s">
        <v>909</v>
      </c>
      <c r="H2710" s="965" t="s">
        <v>1328</v>
      </c>
      <c r="I2710" s="254">
        <v>75</v>
      </c>
      <c r="J2710" s="254">
        <v>8259.5135203578157</v>
      </c>
      <c r="K2710" s="51">
        <f t="shared" si="145"/>
        <v>619464</v>
      </c>
      <c r="L2710" s="966" t="s">
        <v>172</v>
      </c>
      <c r="M2710" s="966" t="s">
        <v>167</v>
      </c>
      <c r="N2710" s="52" t="str">
        <f>IF(AND('331-CT'!$E$7=TH!H2710,OR(L2710="331",M2710="331")),"331",IF(AND(OR(L2710="131",M2710="131"),H2710='131-CT'!$E$7),"131",""))</f>
        <v/>
      </c>
      <c r="O2710" s="857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65"/>
      <c r="AC2710" s="899"/>
    </row>
    <row r="2711" spans="1:30" s="900" customFormat="1" ht="15.75" customHeight="1">
      <c r="A2711" s="895" t="str">
        <f>IF(B2711&lt;&gt;"",IF(AND(B2711&gt;=_TM1,B2711&lt;=_TM2,OR(TH!L2677="1111",TH!M2677="1111")),TH!D2677,""),"")</f>
        <v/>
      </c>
      <c r="B2711" s="896">
        <f t="shared" si="143"/>
        <v>1</v>
      </c>
      <c r="C2711" s="897">
        <f t="shared" si="144"/>
        <v>42376</v>
      </c>
      <c r="D2711" s="897" t="s">
        <v>1580</v>
      </c>
      <c r="E2711" s="897">
        <v>42376</v>
      </c>
      <c r="F2711" s="967" t="s">
        <v>1240</v>
      </c>
      <c r="G2711" s="969" t="s">
        <v>909</v>
      </c>
      <c r="H2711" s="965" t="s">
        <v>1328</v>
      </c>
      <c r="I2711" s="254">
        <v>70</v>
      </c>
      <c r="J2711" s="254">
        <v>5840.060064899465</v>
      </c>
      <c r="K2711" s="51">
        <f t="shared" si="145"/>
        <v>408804</v>
      </c>
      <c r="L2711" s="966" t="s">
        <v>172</v>
      </c>
      <c r="M2711" s="966" t="s">
        <v>167</v>
      </c>
      <c r="N2711" s="52" t="str">
        <f>IF(AND('331-CT'!$E$7=TH!H2711,OR(L2711="331",M2711="331")),"331",IF(AND(OR(L2711="131",M2711="131"),H2711='131-CT'!$E$7),"131",""))</f>
        <v/>
      </c>
      <c r="O2711" s="857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65"/>
      <c r="AC2711" s="899"/>
    </row>
    <row r="2712" spans="1:30" s="900" customFormat="1" ht="15.75" customHeight="1">
      <c r="A2712" s="895" t="str">
        <f>IF(B2712&lt;&gt;"",IF(AND(B2712&gt;=_TM1,B2712&lt;=_TM2,OR(TH!L2678="1111",TH!M2678="1111")),TH!D2678,""),"")</f>
        <v/>
      </c>
      <c r="B2712" s="896">
        <f t="shared" si="143"/>
        <v>1</v>
      </c>
      <c r="C2712" s="897">
        <f t="shared" si="144"/>
        <v>42376</v>
      </c>
      <c r="D2712" s="897" t="s">
        <v>1580</v>
      </c>
      <c r="E2712" s="897">
        <v>42376</v>
      </c>
      <c r="F2712" s="967" t="s">
        <v>1241</v>
      </c>
      <c r="G2712" s="969" t="s">
        <v>909</v>
      </c>
      <c r="H2712" s="965" t="s">
        <v>1328</v>
      </c>
      <c r="I2712" s="254">
        <v>120</v>
      </c>
      <c r="J2712" s="254">
        <v>9010.3783858448896</v>
      </c>
      <c r="K2712" s="51">
        <f t="shared" si="145"/>
        <v>1081245</v>
      </c>
      <c r="L2712" s="966" t="s">
        <v>172</v>
      </c>
      <c r="M2712" s="966" t="s">
        <v>167</v>
      </c>
      <c r="N2712" s="52" t="str">
        <f>IF(AND('331-CT'!$E$7=TH!H2712,OR(L2712="331",M2712="331")),"331",IF(AND(OR(L2712="131",M2712="131"),H2712='131-CT'!$E$7),"131",""))</f>
        <v/>
      </c>
      <c r="O2712" s="857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65"/>
    </row>
    <row r="2713" spans="1:30" s="900" customFormat="1" ht="15.75" customHeight="1">
      <c r="A2713" s="895" t="str">
        <f>IF(B2713&lt;&gt;"",IF(AND(B2713&gt;=_TM1,B2713&lt;=_TM2,OR(TH!L2679="1111",TH!M2679="1111")),TH!D2679,""),"")</f>
        <v/>
      </c>
      <c r="B2713" s="896">
        <f t="shared" si="143"/>
        <v>1</v>
      </c>
      <c r="C2713" s="897">
        <f t="shared" si="144"/>
        <v>42376</v>
      </c>
      <c r="D2713" s="897" t="s">
        <v>1580</v>
      </c>
      <c r="E2713" s="897">
        <v>42376</v>
      </c>
      <c r="F2713" s="967" t="s">
        <v>1242</v>
      </c>
      <c r="G2713" s="969" t="s">
        <v>909</v>
      </c>
      <c r="H2713" s="965" t="s">
        <v>1328</v>
      </c>
      <c r="I2713" s="254">
        <v>110</v>
      </c>
      <c r="J2713" s="254">
        <v>14850.438450744354</v>
      </c>
      <c r="K2713" s="51">
        <f t="shared" si="145"/>
        <v>1633548</v>
      </c>
      <c r="L2713" s="966" t="s">
        <v>172</v>
      </c>
      <c r="M2713" s="966" t="s">
        <v>167</v>
      </c>
      <c r="N2713" s="52" t="str">
        <f>IF(AND('331-CT'!$E$7=TH!H2713,OR(L2713="331",M2713="331")),"331",IF(AND(OR(L2713="131",M2713="131"),H2713='131-CT'!$E$7),"131",""))</f>
        <v/>
      </c>
      <c r="O2713" s="857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65"/>
    </row>
    <row r="2714" spans="1:30" s="900" customFormat="1" ht="15.75" customHeight="1">
      <c r="A2714" s="895" t="str">
        <f>IF(B2714&lt;&gt;"",IF(AND(B2714&gt;=_TM1,B2714&lt;=_TM2,OR(TH!L2680="1111",TH!M2680="1111")),TH!D2680,""),"")</f>
        <v/>
      </c>
      <c r="B2714" s="896">
        <f t="shared" si="143"/>
        <v>1</v>
      </c>
      <c r="C2714" s="897">
        <f t="shared" si="144"/>
        <v>42376</v>
      </c>
      <c r="D2714" s="897" t="s">
        <v>1580</v>
      </c>
      <c r="E2714" s="897">
        <v>42376</v>
      </c>
      <c r="F2714" s="967" t="s">
        <v>1243</v>
      </c>
      <c r="G2714" s="969" t="s">
        <v>909</v>
      </c>
      <c r="H2714" s="965" t="s">
        <v>1328</v>
      </c>
      <c r="I2714" s="254">
        <v>96</v>
      </c>
      <c r="J2714" s="254">
        <v>14767.009021245791</v>
      </c>
      <c r="K2714" s="51">
        <f t="shared" si="145"/>
        <v>1417633</v>
      </c>
      <c r="L2714" s="966" t="s">
        <v>172</v>
      </c>
      <c r="M2714" s="966" t="s">
        <v>167</v>
      </c>
      <c r="N2714" s="52" t="str">
        <f>IF(AND('331-CT'!$E$7=TH!H2714,OR(L2714="331",M2714="331")),"331",IF(AND(OR(L2714="131",M2714="131"),H2714='131-CT'!$E$7),"131",""))</f>
        <v/>
      </c>
      <c r="O2714" s="857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65"/>
    </row>
    <row r="2715" spans="1:30" s="900" customFormat="1" ht="15.75" customHeight="1">
      <c r="A2715" s="895" t="str">
        <f>IF(B2715&lt;&gt;"",IF(AND(B2715&gt;=_TM1,B2715&lt;=_TM2,OR(TH!L2681="1111",TH!M2681="1111")),TH!D2681,""),"")</f>
        <v/>
      </c>
      <c r="B2715" s="896">
        <f t="shared" si="143"/>
        <v>1</v>
      </c>
      <c r="C2715" s="897">
        <f t="shared" si="144"/>
        <v>42376</v>
      </c>
      <c r="D2715" s="897" t="s">
        <v>1580</v>
      </c>
      <c r="E2715" s="897">
        <v>42376</v>
      </c>
      <c r="F2715" s="967" t="s">
        <v>1244</v>
      </c>
      <c r="G2715" s="969" t="s">
        <v>909</v>
      </c>
      <c r="H2715" s="965" t="s">
        <v>1328</v>
      </c>
      <c r="I2715" s="254">
        <v>500</v>
      </c>
      <c r="J2715" s="254">
        <v>13765.855867263024</v>
      </c>
      <c r="K2715" s="51">
        <f t="shared" si="145"/>
        <v>6882928</v>
      </c>
      <c r="L2715" s="966" t="s">
        <v>172</v>
      </c>
      <c r="M2715" s="966" t="s">
        <v>167</v>
      </c>
      <c r="N2715" s="52" t="str">
        <f>IF(AND('331-CT'!$E$7=TH!H2715,OR(L2715="331",M2715="331")),"331",IF(AND(OR(L2715="131",M2715="131"),H2715='131-CT'!$E$7),"131",""))</f>
        <v/>
      </c>
      <c r="O2715" s="857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65"/>
    </row>
    <row r="2716" spans="1:30" s="900" customFormat="1" ht="15.75" customHeight="1">
      <c r="A2716" s="895" t="str">
        <f>IF(B2716&lt;&gt;"",IF(AND(B2716&gt;=_TM1,B2716&lt;=_TM2,OR(TH!L2682="1111",TH!M2682="1111")),TH!D2682,""),"")</f>
        <v/>
      </c>
      <c r="B2716" s="896">
        <f t="shared" si="143"/>
        <v>1</v>
      </c>
      <c r="C2716" s="897">
        <f t="shared" si="144"/>
        <v>42376</v>
      </c>
      <c r="D2716" s="897" t="s">
        <v>1580</v>
      </c>
      <c r="E2716" s="897">
        <v>42376</v>
      </c>
      <c r="F2716" s="967" t="s">
        <v>1245</v>
      </c>
      <c r="G2716" s="969" t="s">
        <v>909</v>
      </c>
      <c r="H2716" s="965" t="s">
        <v>1328</v>
      </c>
      <c r="I2716" s="254">
        <v>86</v>
      </c>
      <c r="J2716" s="254">
        <v>9093.8078153434526</v>
      </c>
      <c r="K2716" s="51">
        <f t="shared" si="145"/>
        <v>782067</v>
      </c>
      <c r="L2716" s="966" t="s">
        <v>172</v>
      </c>
      <c r="M2716" s="966" t="s">
        <v>167</v>
      </c>
      <c r="N2716" s="52" t="str">
        <f>IF(AND('331-CT'!$E$7=TH!H2716,OR(L2716="331",M2716="331")),"331",IF(AND(OR(L2716="131",M2716="131"),H2716='131-CT'!$E$7),"131",""))</f>
        <v/>
      </c>
      <c r="O2716" s="857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65"/>
      <c r="AC2716" s="899"/>
      <c r="AD2716" s="899"/>
    </row>
    <row r="2717" spans="1:30" s="900" customFormat="1" ht="15.75" customHeight="1">
      <c r="A2717" s="895" t="str">
        <f>IF(B2717&lt;&gt;"",IF(AND(B2717&gt;=_TM1,B2717&lt;=_TM2,OR(TH!L2683="1111",TH!M2683="1111")),TH!D2683,""),"")</f>
        <v/>
      </c>
      <c r="B2717" s="896">
        <f t="shared" si="143"/>
        <v>1</v>
      </c>
      <c r="C2717" s="897">
        <f t="shared" si="144"/>
        <v>42376</v>
      </c>
      <c r="D2717" s="897" t="s">
        <v>1580</v>
      </c>
      <c r="E2717" s="897">
        <v>42376</v>
      </c>
      <c r="F2717" s="967" t="s">
        <v>910</v>
      </c>
      <c r="G2717" s="969" t="s">
        <v>911</v>
      </c>
      <c r="H2717" s="965" t="s">
        <v>1328</v>
      </c>
      <c r="I2717" s="254">
        <v>22</v>
      </c>
      <c r="J2717" s="254">
        <v>38460.96699883791</v>
      </c>
      <c r="K2717" s="51">
        <f t="shared" si="145"/>
        <v>846141</v>
      </c>
      <c r="L2717" s="966" t="s">
        <v>172</v>
      </c>
      <c r="M2717" s="966" t="s">
        <v>167</v>
      </c>
      <c r="N2717" s="52" t="str">
        <f>IF(AND('331-CT'!$E$7=TH!H2717,OR(L2717="331",M2717="331")),"331",IF(AND(OR(L2717="131",M2717="131"),H2717='131-CT'!$E$7),"131",""))</f>
        <v/>
      </c>
      <c r="O2717" s="857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65"/>
      <c r="AC2717" s="899"/>
    </row>
    <row r="2718" spans="1:30" s="900" customFormat="1" ht="15.75" customHeight="1">
      <c r="A2718" s="895" t="str">
        <f>IF(B2718&lt;&gt;"",IF(AND(B2718&gt;=_TM1,B2718&lt;=_TM2,OR(TH!L2684="1111",TH!M2684="1111")),TH!D2684,""),"")</f>
        <v/>
      </c>
      <c r="B2718" s="896">
        <f t="shared" si="143"/>
        <v>1</v>
      </c>
      <c r="C2718" s="897">
        <f t="shared" si="144"/>
        <v>42376</v>
      </c>
      <c r="D2718" s="897" t="s">
        <v>1580</v>
      </c>
      <c r="E2718" s="869">
        <v>42376</v>
      </c>
      <c r="F2718" s="870" t="s">
        <v>912</v>
      </c>
      <c r="G2718" s="871" t="s">
        <v>911</v>
      </c>
      <c r="H2718" s="965" t="s">
        <v>1328</v>
      </c>
      <c r="I2718" s="254">
        <v>10</v>
      </c>
      <c r="J2718" s="254">
        <v>40963.849883794821</v>
      </c>
      <c r="K2718" s="51">
        <f t="shared" si="145"/>
        <v>409638</v>
      </c>
      <c r="L2718" s="966" t="s">
        <v>172</v>
      </c>
      <c r="M2718" s="966" t="s">
        <v>167</v>
      </c>
      <c r="N2718" s="52" t="str">
        <f>IF(AND('331-CT'!$E$7=TH!H2718,OR(L2718="331",M2718="331")),"331",IF(AND(OR(L2718="131",M2718="131"),H2718='131-CT'!$E$7),"131",""))</f>
        <v/>
      </c>
      <c r="O2718" s="857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65"/>
      <c r="AC2718" s="899"/>
    </row>
    <row r="2719" spans="1:30" s="900" customFormat="1" ht="15.75" customHeight="1">
      <c r="A2719" s="895" t="str">
        <f>IF(B2719&lt;&gt;"",IF(AND(B2719&gt;=_TM1,B2719&lt;=_TM2,OR(TH!L2685="1111",TH!M2685="1111")),TH!D2685,""),"")</f>
        <v/>
      </c>
      <c r="B2719" s="896">
        <f t="shared" si="143"/>
        <v>1</v>
      </c>
      <c r="C2719" s="897">
        <f t="shared" si="144"/>
        <v>42376</v>
      </c>
      <c r="D2719" s="897" t="s">
        <v>1580</v>
      </c>
      <c r="E2719" s="869">
        <v>42376</v>
      </c>
      <c r="F2719" s="870" t="s">
        <v>913</v>
      </c>
      <c r="G2719" s="871" t="s">
        <v>911</v>
      </c>
      <c r="H2719" s="965" t="s">
        <v>1328</v>
      </c>
      <c r="I2719" s="254">
        <v>10</v>
      </c>
      <c r="J2719" s="254">
        <v>54229.12917406646</v>
      </c>
      <c r="K2719" s="51">
        <f t="shared" si="145"/>
        <v>542291</v>
      </c>
      <c r="L2719" s="966" t="s">
        <v>172</v>
      </c>
      <c r="M2719" s="966" t="s">
        <v>167</v>
      </c>
      <c r="N2719" s="52" t="str">
        <f>IF(AND('331-CT'!$E$7=TH!H2719,OR(L2719="331",M2719="331")),"331",IF(AND(OR(L2719="131",M2719="131"),H2719='131-CT'!$E$7),"131",""))</f>
        <v/>
      </c>
      <c r="O2719" s="857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65"/>
      <c r="AC2719" s="899"/>
      <c r="AD2719" s="899"/>
    </row>
    <row r="2720" spans="1:30" s="900" customFormat="1" ht="15.75" customHeight="1">
      <c r="A2720" s="895" t="str">
        <f>IF(B2720&lt;&gt;"",IF(AND(B2720&gt;=_TM1,B2720&lt;=_TM2,OR(TH!L2686="1111",TH!M2686="1111")),TH!D2686,""),"")</f>
        <v/>
      </c>
      <c r="B2720" s="896">
        <f t="shared" si="143"/>
        <v>1</v>
      </c>
      <c r="C2720" s="897">
        <f t="shared" si="144"/>
        <v>42377</v>
      </c>
      <c r="D2720" s="897" t="s">
        <v>1580</v>
      </c>
      <c r="E2720" s="963">
        <v>42377</v>
      </c>
      <c r="F2720" s="967" t="s">
        <v>640</v>
      </c>
      <c r="G2720" s="49" t="s">
        <v>915</v>
      </c>
      <c r="H2720" s="965" t="s">
        <v>1328</v>
      </c>
      <c r="I2720" s="254">
        <v>153</v>
      </c>
      <c r="J2720" s="254">
        <v>26864.276298537541</v>
      </c>
      <c r="K2720" s="51">
        <f t="shared" si="145"/>
        <v>4110234</v>
      </c>
      <c r="L2720" s="966" t="s">
        <v>172</v>
      </c>
      <c r="M2720" s="966" t="s">
        <v>167</v>
      </c>
      <c r="N2720" s="52" t="str">
        <f>IF(AND('331-CT'!$E$7=TH!H2720,OR(L2720="331",M2720="331")),"331",IF(AND(OR(L2720="131",M2720="131"),H2720='131-CT'!$E$7),"131",""))</f>
        <v/>
      </c>
      <c r="O2720" s="857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65"/>
      <c r="AC2720" s="899"/>
    </row>
    <row r="2721" spans="1:30" s="900" customFormat="1" ht="15.75" customHeight="1">
      <c r="A2721" s="895" t="str">
        <f>IF(B2721&lt;&gt;"",IF(AND(B2721&gt;=_TM1,B2721&lt;=_TM2,OR(TH!L2687="1111",TH!M2687="1111")),TH!D2687,""),"")</f>
        <v/>
      </c>
      <c r="B2721" s="896">
        <f t="shared" si="143"/>
        <v>1</v>
      </c>
      <c r="C2721" s="897">
        <f t="shared" si="144"/>
        <v>42381</v>
      </c>
      <c r="D2721" s="897" t="s">
        <v>1580</v>
      </c>
      <c r="E2721" s="963">
        <v>42381</v>
      </c>
      <c r="F2721" s="964" t="s">
        <v>484</v>
      </c>
      <c r="G2721" s="49" t="s">
        <v>916</v>
      </c>
      <c r="H2721" s="965" t="s">
        <v>1328</v>
      </c>
      <c r="I2721" s="254">
        <v>287</v>
      </c>
      <c r="J2721" s="254">
        <v>16018.450463724246</v>
      </c>
      <c r="K2721" s="51">
        <f t="shared" si="145"/>
        <v>4597295</v>
      </c>
      <c r="L2721" s="966" t="s">
        <v>172</v>
      </c>
      <c r="M2721" s="966" t="s">
        <v>167</v>
      </c>
      <c r="N2721" s="52" t="str">
        <f>IF(AND('331-CT'!$E$7=TH!H2721,OR(L2721="331",M2721="331")),"331",IF(AND(OR(L2721="131",M2721="131"),H2721='131-CT'!$E$7),"131",""))</f>
        <v/>
      </c>
      <c r="O2721" s="857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65"/>
      <c r="AC2721" s="899"/>
    </row>
    <row r="2722" spans="1:30" s="900" customFormat="1" ht="15.75" customHeight="1">
      <c r="A2722" s="895" t="str">
        <f>IF(B2722&lt;&gt;"",IF(AND(B2722&gt;=_TM1,B2722&lt;=_TM2,OR(TH!L2688="1111",TH!M2688="1111")),TH!D2688,""),"")</f>
        <v/>
      </c>
      <c r="B2722" s="896">
        <f t="shared" si="143"/>
        <v>1</v>
      </c>
      <c r="C2722" s="897">
        <f t="shared" si="144"/>
        <v>42382</v>
      </c>
      <c r="D2722" s="897" t="s">
        <v>1580</v>
      </c>
      <c r="E2722" s="963">
        <v>42382</v>
      </c>
      <c r="F2722" s="967" t="s">
        <v>570</v>
      </c>
      <c r="G2722" s="49" t="s">
        <v>917</v>
      </c>
      <c r="H2722" s="965" t="s">
        <v>1328</v>
      </c>
      <c r="I2722" s="968">
        <v>504</v>
      </c>
      <c r="J2722" s="254">
        <v>8092.654661360687</v>
      </c>
      <c r="K2722" s="51">
        <f t="shared" si="145"/>
        <v>4078698</v>
      </c>
      <c r="L2722" s="966" t="s">
        <v>172</v>
      </c>
      <c r="M2722" s="966" t="s">
        <v>167</v>
      </c>
      <c r="N2722" s="52" t="str">
        <f>IF(AND('331-CT'!$E$7=TH!H2722,OR(L2722="331",M2722="331")),"331",IF(AND(OR(L2722="131",M2722="131"),H2722='131-CT'!$E$7),"131",""))</f>
        <v/>
      </c>
      <c r="O2722" s="857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65"/>
      <c r="AC2722" s="899"/>
      <c r="AD2722" s="899"/>
    </row>
    <row r="2723" spans="1:30" s="900" customFormat="1" ht="15.75" customHeight="1">
      <c r="A2723" s="895" t="str">
        <f>IF(B2723&lt;&gt;"",IF(AND(B2723&gt;=_TM1,B2723&lt;=_TM2,OR(TH!L2689="1111",TH!M2689="1111")),TH!D2689,""),"")</f>
        <v/>
      </c>
      <c r="B2723" s="896">
        <f t="shared" si="143"/>
        <v>1</v>
      </c>
      <c r="C2723" s="897">
        <f t="shared" si="144"/>
        <v>42382</v>
      </c>
      <c r="D2723" s="897" t="s">
        <v>1580</v>
      </c>
      <c r="E2723" s="963">
        <v>42382</v>
      </c>
      <c r="F2723" s="49" t="s">
        <v>445</v>
      </c>
      <c r="G2723" s="49" t="s">
        <v>918</v>
      </c>
      <c r="H2723" s="965" t="s">
        <v>1328</v>
      </c>
      <c r="I2723" s="254">
        <v>132</v>
      </c>
      <c r="J2723" s="254">
        <v>11179.543552807549</v>
      </c>
      <c r="K2723" s="51">
        <f t="shared" si="145"/>
        <v>1475700</v>
      </c>
      <c r="L2723" s="966" t="s">
        <v>172</v>
      </c>
      <c r="M2723" s="966" t="s">
        <v>167</v>
      </c>
      <c r="N2723" s="52" t="str">
        <f>IF(AND('331-CT'!$E$7=TH!H2723,OR(L2723="331",M2723="331")),"331",IF(AND(OR(L2723="131",M2723="131"),H2723='131-CT'!$E$7),"131",""))</f>
        <v/>
      </c>
      <c r="O2723" s="857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65"/>
      <c r="AC2723" s="899"/>
    </row>
    <row r="2724" spans="1:30" s="900" customFormat="1" ht="15.75" customHeight="1">
      <c r="A2724" s="895" t="str">
        <f>IF(B2724&lt;&gt;"",IF(AND(B2724&gt;=_TM1,B2724&lt;=_TM2,OR(TH!L2690="1111",TH!M2690="1111")),TH!D2690,""),"")</f>
        <v/>
      </c>
      <c r="B2724" s="896">
        <f t="shared" si="143"/>
        <v>1</v>
      </c>
      <c r="C2724" s="897">
        <f t="shared" si="144"/>
        <v>42382</v>
      </c>
      <c r="D2724" s="897" t="s">
        <v>1580</v>
      </c>
      <c r="E2724" s="963">
        <v>42382</v>
      </c>
      <c r="F2724" s="967" t="s">
        <v>507</v>
      </c>
      <c r="G2724" s="49" t="s">
        <v>918</v>
      </c>
      <c r="H2724" s="965" t="s">
        <v>1328</v>
      </c>
      <c r="I2724" s="254">
        <v>222</v>
      </c>
      <c r="J2724" s="254">
        <v>7758.9369433664324</v>
      </c>
      <c r="K2724" s="51">
        <f t="shared" si="145"/>
        <v>1722484</v>
      </c>
      <c r="L2724" s="966" t="s">
        <v>172</v>
      </c>
      <c r="M2724" s="966" t="s">
        <v>167</v>
      </c>
      <c r="N2724" s="52" t="str">
        <f>IF(AND('331-CT'!$E$7=TH!H2724,OR(L2724="331",M2724="331")),"331",IF(AND(OR(L2724="131",M2724="131"),H2724='131-CT'!$E$7),"131",""))</f>
        <v/>
      </c>
      <c r="O2724" s="857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765"/>
      <c r="AC2724" s="899"/>
    </row>
    <row r="2725" spans="1:30" s="900" customFormat="1" ht="15.75" customHeight="1">
      <c r="A2725" s="895" t="str">
        <f>IF(B2725&lt;&gt;"",IF(AND(B2725&gt;=_TM1,B2725&lt;=_TM2,OR(TH!L2818="1111",TH!M2818="1111")),TH!D2818,""),"")</f>
        <v/>
      </c>
      <c r="B2725" s="896">
        <f t="shared" si="143"/>
        <v>1</v>
      </c>
      <c r="C2725" s="897">
        <f t="shared" si="144"/>
        <v>42383</v>
      </c>
      <c r="D2725" s="897" t="s">
        <v>1580</v>
      </c>
      <c r="E2725" s="963">
        <v>42383</v>
      </c>
      <c r="F2725" s="967" t="s">
        <v>445</v>
      </c>
      <c r="G2725" s="49" t="s">
        <v>863</v>
      </c>
      <c r="H2725" s="965" t="s">
        <v>1328</v>
      </c>
      <c r="I2725" s="968">
        <v>273</v>
      </c>
      <c r="J2725" s="254">
        <v>11096.114123308984</v>
      </c>
      <c r="K2725" s="51">
        <f t="shared" si="145"/>
        <v>3029239</v>
      </c>
      <c r="L2725" s="966" t="s">
        <v>172</v>
      </c>
      <c r="M2725" s="966" t="s">
        <v>167</v>
      </c>
      <c r="N2725" s="52" t="str">
        <f>IF(AND('331-CT'!$E$7=TH!H2725,OR(L2725="331",M2725="331")),"331",IF(AND(OR(L2725="131",M2725="131"),H2725='131-CT'!$E$7),"131",""))</f>
        <v/>
      </c>
      <c r="O2725" s="857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65"/>
      <c r="AC2725" s="899"/>
      <c r="AD2725" s="899"/>
    </row>
    <row r="2726" spans="1:30" s="900" customFormat="1" ht="15.75" customHeight="1">
      <c r="A2726" s="895" t="str">
        <f>IF(B2726&lt;&gt;"",IF(AND(B2726&gt;=_TM1,B2726&lt;=_TM2,OR(TH!L2819="1111",TH!M2819="1111")),TH!D2819,""),"")</f>
        <v/>
      </c>
      <c r="B2726" s="896">
        <f t="shared" si="143"/>
        <v>1</v>
      </c>
      <c r="C2726" s="897">
        <f t="shared" si="144"/>
        <v>42383</v>
      </c>
      <c r="D2726" s="897" t="s">
        <v>1580</v>
      </c>
      <c r="E2726" s="963">
        <v>42383</v>
      </c>
      <c r="F2726" s="967" t="s">
        <v>993</v>
      </c>
      <c r="G2726" s="49" t="s">
        <v>863</v>
      </c>
      <c r="H2726" s="965" t="s">
        <v>1328</v>
      </c>
      <c r="I2726" s="968">
        <v>500</v>
      </c>
      <c r="J2726" s="254">
        <v>19856.204220658179</v>
      </c>
      <c r="K2726" s="51">
        <f t="shared" si="145"/>
        <v>9928102</v>
      </c>
      <c r="L2726" s="966" t="s">
        <v>172</v>
      </c>
      <c r="M2726" s="966" t="s">
        <v>167</v>
      </c>
      <c r="N2726" s="52" t="str">
        <f>IF(AND('331-CT'!$E$7=TH!H2726,OR(L2726="331",M2726="331")),"331",IF(AND(OR(L2726="131",M2726="131"),H2726='131-CT'!$E$7),"131",""))</f>
        <v/>
      </c>
      <c r="O2726" s="857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65"/>
      <c r="AC2726" s="899"/>
      <c r="AD2726" s="899"/>
    </row>
    <row r="2727" spans="1:30" s="900" customFormat="1" ht="15.75" customHeight="1">
      <c r="A2727" s="895" t="str">
        <f>IF(B2727&lt;&gt;"",IF(AND(B2727&gt;=_TM1,B2727&lt;=_TM2,OR(TH!L2820="1111",TH!M2820="1111")),TH!D2820,""),"")</f>
        <v/>
      </c>
      <c r="B2727" s="896">
        <f t="shared" si="143"/>
        <v>1</v>
      </c>
      <c r="C2727" s="897">
        <f t="shared" si="144"/>
        <v>42383</v>
      </c>
      <c r="D2727" s="897" t="s">
        <v>1580</v>
      </c>
      <c r="E2727" s="963">
        <v>42383</v>
      </c>
      <c r="F2727" s="967" t="s">
        <v>676</v>
      </c>
      <c r="G2727" s="49" t="s">
        <v>864</v>
      </c>
      <c r="H2727" s="965" t="s">
        <v>1328</v>
      </c>
      <c r="I2727" s="968">
        <v>1000</v>
      </c>
      <c r="J2727" s="254">
        <v>6590.924930386539</v>
      </c>
      <c r="K2727" s="51">
        <f t="shared" si="145"/>
        <v>6590925</v>
      </c>
      <c r="L2727" s="966" t="s">
        <v>172</v>
      </c>
      <c r="M2727" s="966" t="s">
        <v>167</v>
      </c>
      <c r="N2727" s="52" t="str">
        <f>IF(AND('331-CT'!$E$7=TH!H2727,OR(L2727="331",M2727="331")),"331",IF(AND(OR(L2727="131",M2727="131"),H2727='131-CT'!$E$7),"131",""))</f>
        <v/>
      </c>
      <c r="O2727" s="857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65"/>
      <c r="AC2727" s="899"/>
      <c r="AD2727" s="899"/>
    </row>
    <row r="2728" spans="1:30" s="900" customFormat="1" ht="15.75" customHeight="1">
      <c r="A2728" s="895" t="str">
        <f>IF(B2728&lt;&gt;"",IF(AND(B2728&gt;=_TM1,B2728&lt;=_TM2,OR(TH!L2821="1111",TH!M2821="1111")),TH!D2821,""),"")</f>
        <v/>
      </c>
      <c r="B2728" s="896">
        <f t="shared" si="143"/>
        <v>1</v>
      </c>
      <c r="C2728" s="897">
        <f t="shared" si="144"/>
        <v>42383</v>
      </c>
      <c r="D2728" s="897" t="s">
        <v>1580</v>
      </c>
      <c r="E2728" s="869">
        <v>42383</v>
      </c>
      <c r="F2728" s="870" t="s">
        <v>1465</v>
      </c>
      <c r="G2728" s="871" t="s">
        <v>919</v>
      </c>
      <c r="H2728" s="965" t="s">
        <v>1328</v>
      </c>
      <c r="I2728" s="254">
        <v>100</v>
      </c>
      <c r="J2728" s="254">
        <v>8509.8018088535064</v>
      </c>
      <c r="K2728" s="51">
        <f t="shared" si="145"/>
        <v>850980</v>
      </c>
      <c r="L2728" s="966" t="s">
        <v>172</v>
      </c>
      <c r="M2728" s="966" t="s">
        <v>167</v>
      </c>
      <c r="N2728" s="52" t="str">
        <f>IF(AND('331-CT'!$E$7=TH!H2728,OR(L2728="331",M2728="331")),"331",IF(AND(OR(L2728="131",M2728="131"),H2728='131-CT'!$E$7),"131",""))</f>
        <v/>
      </c>
      <c r="O2728" s="857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65"/>
      <c r="AC2728" s="899"/>
    </row>
    <row r="2729" spans="1:30" s="900" customFormat="1" ht="15.75" customHeight="1">
      <c r="A2729" s="895" t="str">
        <f>IF(B2729&lt;&gt;"",IF(AND(B2729&gt;=_TM1,B2729&lt;=_TM2,OR(TH!L2691="1111",TH!M2691="1111")),TH!D2691,""),"")</f>
        <v/>
      </c>
      <c r="B2729" s="896">
        <f t="shared" si="143"/>
        <v>1</v>
      </c>
      <c r="C2729" s="897">
        <f t="shared" si="144"/>
        <v>42383</v>
      </c>
      <c r="D2729" s="897" t="s">
        <v>1580</v>
      </c>
      <c r="E2729" s="869">
        <v>42383</v>
      </c>
      <c r="F2729" s="870" t="s">
        <v>1466</v>
      </c>
      <c r="G2729" s="871" t="s">
        <v>919</v>
      </c>
      <c r="H2729" s="965" t="s">
        <v>1328</v>
      </c>
      <c r="I2729" s="254">
        <v>20</v>
      </c>
      <c r="J2729" s="254">
        <v>9761.2432513319618</v>
      </c>
      <c r="K2729" s="51">
        <f t="shared" si="145"/>
        <v>195225</v>
      </c>
      <c r="L2729" s="966" t="s">
        <v>172</v>
      </c>
      <c r="M2729" s="966" t="s">
        <v>167</v>
      </c>
      <c r="N2729" s="52" t="str">
        <f>IF(AND('331-CT'!$E$7=TH!H2729,OR(L2729="331",M2729="331")),"331",IF(AND(OR(L2729="131",M2729="131"),H2729='131-CT'!$E$7),"131",""))</f>
        <v/>
      </c>
      <c r="O2729" s="857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65"/>
      <c r="AC2729" s="899"/>
      <c r="AD2729" s="899"/>
    </row>
    <row r="2730" spans="1:30" s="900" customFormat="1" ht="15.75" customHeight="1">
      <c r="A2730" s="895" t="str">
        <f>IF(B2730&lt;&gt;"",IF(AND(B2730&gt;=_TM1,B2730&lt;=_TM2,OR(TH!L2692="1111",TH!M2692="1111")),TH!D2692,""),"")</f>
        <v/>
      </c>
      <c r="B2730" s="896">
        <f t="shared" si="143"/>
        <v>1</v>
      </c>
      <c r="C2730" s="897">
        <f t="shared" si="144"/>
        <v>42383</v>
      </c>
      <c r="D2730" s="897" t="s">
        <v>1580</v>
      </c>
      <c r="E2730" s="869">
        <v>42383</v>
      </c>
      <c r="F2730" s="870" t="s">
        <v>1337</v>
      </c>
      <c r="G2730" s="871" t="s">
        <v>919</v>
      </c>
      <c r="H2730" s="965" t="s">
        <v>1328</v>
      </c>
      <c r="I2730" s="254">
        <v>20</v>
      </c>
      <c r="J2730" s="254">
        <v>10345.24925782191</v>
      </c>
      <c r="K2730" s="51">
        <f t="shared" si="145"/>
        <v>206905</v>
      </c>
      <c r="L2730" s="966" t="s">
        <v>172</v>
      </c>
      <c r="M2730" s="966" t="s">
        <v>167</v>
      </c>
      <c r="N2730" s="52" t="str">
        <f>IF(AND('331-CT'!$E$7=TH!H2730,OR(L2730="331",M2730="331")),"331",IF(AND(OR(L2730="131",M2730="131"),H2730='131-CT'!$E$7),"131",""))</f>
        <v/>
      </c>
      <c r="O2730" s="857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65"/>
      <c r="AC2730" s="899"/>
    </row>
    <row r="2731" spans="1:30" s="900" customFormat="1" ht="15.75" customHeight="1">
      <c r="A2731" s="895" t="str">
        <f>IF(B2731&lt;&gt;"",IF(AND(B2731&gt;=_TM1,B2731&lt;=_TM2,OR(TH!L2693="1111",TH!M2693="1111")),TH!D2693,""),"")</f>
        <v/>
      </c>
      <c r="B2731" s="896">
        <f t="shared" si="143"/>
        <v>1</v>
      </c>
      <c r="C2731" s="897">
        <f t="shared" si="144"/>
        <v>42383</v>
      </c>
      <c r="D2731" s="897" t="s">
        <v>1580</v>
      </c>
      <c r="E2731" s="869">
        <v>42383</v>
      </c>
      <c r="F2731" s="870" t="s">
        <v>1341</v>
      </c>
      <c r="G2731" s="871" t="s">
        <v>919</v>
      </c>
      <c r="H2731" s="965" t="s">
        <v>1328</v>
      </c>
      <c r="I2731" s="254">
        <v>20</v>
      </c>
      <c r="J2731" s="254">
        <v>9093.8078153434526</v>
      </c>
      <c r="K2731" s="51">
        <f t="shared" si="145"/>
        <v>181876</v>
      </c>
      <c r="L2731" s="966" t="s">
        <v>172</v>
      </c>
      <c r="M2731" s="966" t="s">
        <v>167</v>
      </c>
      <c r="N2731" s="52" t="str">
        <f>IF(AND('331-CT'!$E$7=TH!H2731,OR(L2731="331",M2731="331")),"331",IF(AND(OR(L2731="131",M2731="131"),H2731='131-CT'!$E$7),"131",""))</f>
        <v/>
      </c>
      <c r="O2731" s="857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65"/>
      <c r="AC2731" s="899"/>
    </row>
    <row r="2732" spans="1:30" s="900" customFormat="1" ht="15.75" customHeight="1">
      <c r="A2732" s="895" t="str">
        <f>IF(B2732&lt;&gt;"",IF(AND(B2732&gt;=_TM1,B2732&lt;=_TM2,OR(TH!L2710="1111",TH!M2710="1111")),TH!D2710,""),"")</f>
        <v/>
      </c>
      <c r="B2732" s="896">
        <f t="shared" si="143"/>
        <v>1</v>
      </c>
      <c r="C2732" s="897">
        <f t="shared" si="144"/>
        <v>42383</v>
      </c>
      <c r="D2732" s="897" t="s">
        <v>1580</v>
      </c>
      <c r="E2732" s="869">
        <v>42383</v>
      </c>
      <c r="F2732" s="870" t="s">
        <v>1474</v>
      </c>
      <c r="G2732" s="871" t="s">
        <v>920</v>
      </c>
      <c r="H2732" s="965" t="s">
        <v>1328</v>
      </c>
      <c r="I2732" s="254">
        <v>314</v>
      </c>
      <c r="J2732" s="254">
        <v>11012.684693810421</v>
      </c>
      <c r="K2732" s="51">
        <f t="shared" si="145"/>
        <v>3457983</v>
      </c>
      <c r="L2732" s="966" t="s">
        <v>172</v>
      </c>
      <c r="M2732" s="966" t="s">
        <v>167</v>
      </c>
      <c r="N2732" s="52" t="str">
        <f>IF(AND('331-CT'!$E$7=TH!H2732,OR(L2732="331",M2732="331")),"331",IF(AND(OR(L2732="131",M2732="131"),H2732='131-CT'!$E$7),"131",""))</f>
        <v/>
      </c>
      <c r="O2732" s="857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65"/>
      <c r="AC2732" s="899"/>
      <c r="AD2732" s="899"/>
    </row>
    <row r="2733" spans="1:30" s="900" customFormat="1" ht="15.75" customHeight="1">
      <c r="A2733" s="895" t="str">
        <f>IF(B2733&lt;&gt;"",IF(AND(B2733&gt;=_TM1,B2733&lt;=_TM2,OR(TH!L2711="1111",TH!M2711="1111")),TH!D2711,""),"")</f>
        <v/>
      </c>
      <c r="B2733" s="896">
        <f t="shared" si="143"/>
        <v>1</v>
      </c>
      <c r="C2733" s="897">
        <f t="shared" si="144"/>
        <v>42383</v>
      </c>
      <c r="D2733" s="897" t="s">
        <v>1580</v>
      </c>
      <c r="E2733" s="869">
        <v>42383</v>
      </c>
      <c r="F2733" s="870" t="s">
        <v>689</v>
      </c>
      <c r="G2733" s="871" t="s">
        <v>921</v>
      </c>
      <c r="H2733" s="965" t="s">
        <v>1328</v>
      </c>
      <c r="I2733" s="254">
        <v>214</v>
      </c>
      <c r="J2733" s="254">
        <v>12013.837847793186</v>
      </c>
      <c r="K2733" s="51">
        <f t="shared" si="145"/>
        <v>2570961</v>
      </c>
      <c r="L2733" s="966" t="s">
        <v>172</v>
      </c>
      <c r="M2733" s="966" t="s">
        <v>167</v>
      </c>
      <c r="N2733" s="52" t="str">
        <f>IF(AND('331-CT'!$E$7=TH!H2733,OR(L2733="331",M2733="331")),"331",IF(AND(OR(L2733="131",M2733="131"),H2733='131-CT'!$E$7),"131",""))</f>
        <v/>
      </c>
      <c r="O2733" s="857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65"/>
      <c r="AC2733" s="899"/>
    </row>
    <row r="2734" spans="1:30" s="900" customFormat="1" ht="15.75" customHeight="1">
      <c r="A2734" s="895" t="str">
        <f>IF(B2734&lt;&gt;"",IF(AND(B2734&gt;=_TM1,B2734&lt;=_TM2,OR(TH!L2712="1111",TH!M2712="1111")),TH!D2712,""),"")</f>
        <v/>
      </c>
      <c r="B2734" s="896">
        <f t="shared" si="143"/>
        <v>1</v>
      </c>
      <c r="C2734" s="897">
        <f t="shared" si="144"/>
        <v>42383</v>
      </c>
      <c r="D2734" s="897" t="s">
        <v>1580</v>
      </c>
      <c r="E2734" s="869">
        <v>42383</v>
      </c>
      <c r="F2734" s="870" t="s">
        <v>688</v>
      </c>
      <c r="G2734" s="871" t="s">
        <v>921</v>
      </c>
      <c r="H2734" s="965" t="s">
        <v>1328</v>
      </c>
      <c r="I2734" s="254">
        <v>621</v>
      </c>
      <c r="J2734" s="254">
        <v>6424.0660713894113</v>
      </c>
      <c r="K2734" s="51">
        <f t="shared" si="145"/>
        <v>3989345</v>
      </c>
      <c r="L2734" s="966" t="s">
        <v>172</v>
      </c>
      <c r="M2734" s="966" t="s">
        <v>167</v>
      </c>
      <c r="N2734" s="52" t="str">
        <f>IF(AND('331-CT'!$E$7=TH!H2734,OR(L2734="331",M2734="331")),"331",IF(AND(OR(L2734="131",M2734="131"),H2734='131-CT'!$E$7),"131",""))</f>
        <v/>
      </c>
      <c r="O2734" s="857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65"/>
      <c r="AC2734" s="899"/>
    </row>
    <row r="2735" spans="1:30" s="900" customFormat="1" ht="15.75" customHeight="1">
      <c r="A2735" s="895" t="str">
        <f>IF(B2735&lt;&gt;"",IF(AND(B2735&gt;=_TM1,B2735&lt;=_TM2,OR(TH!L2713="1111",TH!M2713="1111")),TH!D2713,""),"")</f>
        <v/>
      </c>
      <c r="B2735" s="896">
        <f t="shared" si="143"/>
        <v>1</v>
      </c>
      <c r="C2735" s="897">
        <f t="shared" si="144"/>
        <v>42383</v>
      </c>
      <c r="D2735" s="897" t="s">
        <v>1580</v>
      </c>
      <c r="E2735" s="869">
        <v>42383</v>
      </c>
      <c r="F2735" s="870" t="s">
        <v>728</v>
      </c>
      <c r="G2735" s="871" t="s">
        <v>922</v>
      </c>
      <c r="H2735" s="965" t="s">
        <v>1328</v>
      </c>
      <c r="I2735" s="254">
        <v>170</v>
      </c>
      <c r="J2735" s="254">
        <v>11012.684693810421</v>
      </c>
      <c r="K2735" s="51">
        <f t="shared" si="145"/>
        <v>1872156</v>
      </c>
      <c r="L2735" s="966" t="s">
        <v>172</v>
      </c>
      <c r="M2735" s="966" t="s">
        <v>167</v>
      </c>
      <c r="N2735" s="52" t="str">
        <f>IF(AND('331-CT'!$E$7=TH!H2735,OR(L2735="331",M2735="331")),"331",IF(AND(OR(L2735="131",M2735="131"),H2735='131-CT'!$E$7),"131",""))</f>
        <v/>
      </c>
      <c r="O2735" s="857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65"/>
    </row>
    <row r="2736" spans="1:30" s="900" customFormat="1" ht="15.75" customHeight="1">
      <c r="A2736" s="895" t="str">
        <f>IF(B2736&lt;&gt;"",IF(AND(B2736&gt;=_TM1,B2736&lt;=_TM2,OR(TH!L2714="1111",TH!M2714="1111")),TH!D2714,""),"")</f>
        <v/>
      </c>
      <c r="B2736" s="896">
        <f t="shared" si="143"/>
        <v>1</v>
      </c>
      <c r="C2736" s="897">
        <f t="shared" si="144"/>
        <v>42383</v>
      </c>
      <c r="D2736" s="897" t="s">
        <v>1580</v>
      </c>
      <c r="E2736" s="869">
        <v>42383</v>
      </c>
      <c r="F2736" s="870" t="s">
        <v>736</v>
      </c>
      <c r="G2736" s="871" t="s">
        <v>922</v>
      </c>
      <c r="H2736" s="965" t="s">
        <v>1328</v>
      </c>
      <c r="I2736" s="254">
        <v>40</v>
      </c>
      <c r="J2736" s="254">
        <v>8092.654661360687</v>
      </c>
      <c r="K2736" s="51">
        <f t="shared" si="145"/>
        <v>323706</v>
      </c>
      <c r="L2736" s="966" t="s">
        <v>172</v>
      </c>
      <c r="M2736" s="966" t="s">
        <v>167</v>
      </c>
      <c r="N2736" s="52" t="str">
        <f>IF(AND('331-CT'!$E$7=TH!H2736,OR(L2736="331",M2736="331")),"331",IF(AND(OR(L2736="131",M2736="131"),H2736='131-CT'!$E$7),"131",""))</f>
        <v/>
      </c>
      <c r="O2736" s="857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65"/>
    </row>
    <row r="2737" spans="1:30" s="900" customFormat="1" ht="15.75" customHeight="1">
      <c r="A2737" s="895" t="str">
        <f>IF(B2737&lt;&gt;"",IF(AND(B2737&gt;=_TM1,B2737&lt;=_TM2,OR(TH!L2715="1111",TH!M2715="1111")),TH!D2715,""),"")</f>
        <v/>
      </c>
      <c r="B2737" s="896">
        <f t="shared" si="143"/>
        <v>1</v>
      </c>
      <c r="C2737" s="897">
        <f t="shared" si="144"/>
        <v>42383</v>
      </c>
      <c r="D2737" s="897" t="s">
        <v>1580</v>
      </c>
      <c r="E2737" s="48">
        <v>42383</v>
      </c>
      <c r="F2737" s="49" t="s">
        <v>1246</v>
      </c>
      <c r="G2737" s="49" t="s">
        <v>922</v>
      </c>
      <c r="H2737" s="965" t="s">
        <v>1328</v>
      </c>
      <c r="I2737" s="254">
        <v>25</v>
      </c>
      <c r="J2737" s="254">
        <v>7174.9309368764852</v>
      </c>
      <c r="K2737" s="51">
        <f t="shared" si="145"/>
        <v>179373</v>
      </c>
      <c r="L2737" s="966" t="s">
        <v>172</v>
      </c>
      <c r="M2737" s="966" t="s">
        <v>167</v>
      </c>
      <c r="N2737" s="52" t="str">
        <f>IF(AND('331-CT'!$E$7=TH!H2737,OR(L2737="331",M2737="331")),"331",IF(AND(OR(L2737="131",M2737="131"),H2737='131-CT'!$E$7),"131",""))</f>
        <v/>
      </c>
      <c r="O2737" s="857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65"/>
    </row>
    <row r="2738" spans="1:30" s="900" customFormat="1" ht="15.75" customHeight="1">
      <c r="A2738" s="895" t="str">
        <f>IF(B2738&lt;&gt;"",IF(AND(B2738&gt;=_TM1,B2738&lt;=_TM2,OR(TH!L2716="1111",TH!M2716="1111")),TH!D2716,""),"")</f>
        <v/>
      </c>
      <c r="B2738" s="896">
        <f t="shared" si="143"/>
        <v>1</v>
      </c>
      <c r="C2738" s="897">
        <f t="shared" si="144"/>
        <v>42383</v>
      </c>
      <c r="D2738" s="897" t="s">
        <v>1580</v>
      </c>
      <c r="E2738" s="48">
        <v>42383</v>
      </c>
      <c r="F2738" s="49" t="s">
        <v>1247</v>
      </c>
      <c r="G2738" s="49" t="s">
        <v>922</v>
      </c>
      <c r="H2738" s="965" t="s">
        <v>1328</v>
      </c>
      <c r="I2738" s="254">
        <v>10</v>
      </c>
      <c r="J2738" s="254">
        <v>9344.0961038391451</v>
      </c>
      <c r="K2738" s="51">
        <f t="shared" si="145"/>
        <v>93441</v>
      </c>
      <c r="L2738" s="966" t="s">
        <v>172</v>
      </c>
      <c r="M2738" s="966" t="s">
        <v>167</v>
      </c>
      <c r="N2738" s="52" t="str">
        <f>IF(AND('331-CT'!$E$7=TH!H2738,OR(L2738="331",M2738="331")),"331",IF(AND(OR(L2738="131",M2738="131"),H2738='131-CT'!$E$7),"131",""))</f>
        <v/>
      </c>
      <c r="O2738" s="857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65"/>
    </row>
    <row r="2739" spans="1:30" s="900" customFormat="1" ht="15.75" customHeight="1">
      <c r="A2739" s="895" t="str">
        <f>IF(B2739&lt;&gt;"",IF(AND(B2739&gt;=_TM1,B2739&lt;=_TM2,OR(TH!L2730="1111",TH!M2730="1111")),TH!D2730,""),"")</f>
        <v/>
      </c>
      <c r="B2739" s="896">
        <f t="shared" si="143"/>
        <v>1</v>
      </c>
      <c r="C2739" s="897">
        <f t="shared" si="144"/>
        <v>42383</v>
      </c>
      <c r="D2739" s="897" t="s">
        <v>1580</v>
      </c>
      <c r="E2739" s="48">
        <v>42383</v>
      </c>
      <c r="F2739" s="870" t="s">
        <v>1248</v>
      </c>
      <c r="G2739" s="49" t="s">
        <v>922</v>
      </c>
      <c r="H2739" s="965" t="s">
        <v>1328</v>
      </c>
      <c r="I2739" s="254">
        <v>580</v>
      </c>
      <c r="J2739" s="254">
        <v>8843.5195268477619</v>
      </c>
      <c r="K2739" s="51">
        <f t="shared" si="145"/>
        <v>5129241</v>
      </c>
      <c r="L2739" s="966" t="s">
        <v>172</v>
      </c>
      <c r="M2739" s="966" t="s">
        <v>167</v>
      </c>
      <c r="N2739" s="52" t="str">
        <f>IF(AND('331-CT'!$E$7=TH!H2739,OR(L2739="331",M2739="331")),"331",IF(AND(OR(L2739="131",M2739="131"),H2739='131-CT'!$E$7),"131",""))</f>
        <v/>
      </c>
      <c r="O2739" s="857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65"/>
      <c r="AC2739" s="899"/>
      <c r="AD2739" s="899"/>
    </row>
    <row r="2740" spans="1:30" s="900" customFormat="1" ht="15.75" customHeight="1">
      <c r="A2740" s="895" t="str">
        <f>IF(B2740&lt;&gt;"",IF(AND(B2740&gt;=_TM1,B2740&lt;=_TM2,OR(TH!L2731="1111",TH!M2731="1111")),TH!D2731,""),"")</f>
        <v/>
      </c>
      <c r="B2740" s="896">
        <f t="shared" si="143"/>
        <v>1</v>
      </c>
      <c r="C2740" s="897">
        <f t="shared" si="144"/>
        <v>42383</v>
      </c>
      <c r="D2740" s="897" t="s">
        <v>1580</v>
      </c>
      <c r="E2740" s="48">
        <v>42383</v>
      </c>
      <c r="F2740" s="49" t="s">
        <v>1249</v>
      </c>
      <c r="G2740" s="49" t="s">
        <v>922</v>
      </c>
      <c r="H2740" s="965" t="s">
        <v>1328</v>
      </c>
      <c r="I2740" s="254">
        <v>900</v>
      </c>
      <c r="J2740" s="254">
        <v>7925.7958023635592</v>
      </c>
      <c r="K2740" s="51">
        <f t="shared" si="145"/>
        <v>7133216</v>
      </c>
      <c r="L2740" s="966" t="s">
        <v>172</v>
      </c>
      <c r="M2740" s="966" t="s">
        <v>167</v>
      </c>
      <c r="N2740" s="52" t="str">
        <f>IF(AND('331-CT'!$E$7=TH!H2740,OR(L2740="331",M2740="331")),"331",IF(AND(OR(L2740="131",M2740="131"),H2740='131-CT'!$E$7),"131",""))</f>
        <v/>
      </c>
      <c r="O2740" s="857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65"/>
      <c r="AC2740" s="899"/>
    </row>
    <row r="2741" spans="1:30" s="900" customFormat="1" ht="15.75" customHeight="1">
      <c r="A2741" s="895" t="str">
        <f>IF(B2741&lt;&gt;"",IF(AND(B2741&gt;=_TM1,B2741&lt;=_TM2,OR(TH!L2732="1111",TH!M2732="1111")),TH!D2732,""),"")</f>
        <v/>
      </c>
      <c r="B2741" s="896">
        <f t="shared" si="143"/>
        <v>1</v>
      </c>
      <c r="C2741" s="897">
        <f t="shared" si="144"/>
        <v>42383</v>
      </c>
      <c r="D2741" s="897" t="s">
        <v>1580</v>
      </c>
      <c r="E2741" s="48">
        <v>42383</v>
      </c>
      <c r="F2741" s="870" t="s">
        <v>1250</v>
      </c>
      <c r="G2741" s="49" t="s">
        <v>922</v>
      </c>
      <c r="H2741" s="965" t="s">
        <v>1328</v>
      </c>
      <c r="I2741" s="254">
        <v>12</v>
      </c>
      <c r="J2741" s="254">
        <v>6006.9189238965928</v>
      </c>
      <c r="K2741" s="51">
        <f t="shared" si="145"/>
        <v>72083</v>
      </c>
      <c r="L2741" s="966" t="s">
        <v>172</v>
      </c>
      <c r="M2741" s="966" t="s">
        <v>167</v>
      </c>
      <c r="N2741" s="52" t="str">
        <f>IF(AND('331-CT'!$E$7=TH!H2741,OR(L2741="331",M2741="331")),"331",IF(AND(OR(L2741="131",M2741="131"),H2741='131-CT'!$E$7),"131",""))</f>
        <v/>
      </c>
      <c r="O2741" s="857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65"/>
      <c r="AC2741" s="899"/>
    </row>
    <row r="2742" spans="1:30" s="900" customFormat="1" ht="15.75" customHeight="1">
      <c r="A2742" s="895" t="str">
        <f>IF(B2742&lt;&gt;"",IF(AND(B2742&gt;=_TM1,B2742&lt;=_TM2,OR(TH!L2806="1111",TH!M2806="1111")),TH!D2806,""),"")</f>
        <v/>
      </c>
      <c r="B2742" s="896">
        <f t="shared" si="143"/>
        <v>1</v>
      </c>
      <c r="C2742" s="897">
        <f t="shared" si="144"/>
        <v>42383</v>
      </c>
      <c r="D2742" s="897" t="s">
        <v>1580</v>
      </c>
      <c r="E2742" s="48">
        <v>42383</v>
      </c>
      <c r="F2742" s="49" t="s">
        <v>1251</v>
      </c>
      <c r="G2742" s="49" t="s">
        <v>922</v>
      </c>
      <c r="H2742" s="965" t="s">
        <v>1328</v>
      </c>
      <c r="I2742" s="254">
        <v>13</v>
      </c>
      <c r="J2742" s="254">
        <v>7675.5075138678685</v>
      </c>
      <c r="K2742" s="51">
        <f t="shared" si="145"/>
        <v>99782</v>
      </c>
      <c r="L2742" s="966" t="s">
        <v>172</v>
      </c>
      <c r="M2742" s="966" t="s">
        <v>167</v>
      </c>
      <c r="N2742" s="52" t="str">
        <f>IF(AND('331-CT'!$E$7=TH!H2742,OR(L2742="331",M2742="331")),"331",IF(AND(OR(L2742="131",M2742="131"),H2742='131-CT'!$E$7),"131",""))</f>
        <v/>
      </c>
      <c r="O2742" s="857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65"/>
      <c r="AC2742" s="899"/>
      <c r="AD2742" s="899"/>
    </row>
    <row r="2743" spans="1:30" s="900" customFormat="1" ht="15.75" customHeight="1">
      <c r="A2743" s="895" t="str">
        <f>IF(B2743&lt;&gt;"",IF(AND(B2743&gt;=_TM1,B2743&lt;=_TM2,OR(TH!L2807="1111",TH!M2807="1111")),TH!D2807,""),"")</f>
        <v/>
      </c>
      <c r="B2743" s="896">
        <f t="shared" si="143"/>
        <v>1</v>
      </c>
      <c r="C2743" s="897">
        <f t="shared" si="144"/>
        <v>42385</v>
      </c>
      <c r="D2743" s="897" t="s">
        <v>1580</v>
      </c>
      <c r="E2743" s="48">
        <v>42385</v>
      </c>
      <c r="F2743" s="49" t="s">
        <v>471</v>
      </c>
      <c r="G2743" s="49" t="s">
        <v>923</v>
      </c>
      <c r="H2743" s="965" t="s">
        <v>1328</v>
      </c>
      <c r="I2743" s="254">
        <v>619</v>
      </c>
      <c r="J2743" s="254">
        <v>13181.849860773078</v>
      </c>
      <c r="K2743" s="51">
        <f t="shared" si="145"/>
        <v>8159565</v>
      </c>
      <c r="L2743" s="966" t="s">
        <v>172</v>
      </c>
      <c r="M2743" s="966" t="s">
        <v>167</v>
      </c>
      <c r="N2743" s="52" t="str">
        <f>IF(AND('331-CT'!$E$7=TH!H2743,OR(L2743="331",M2743="331")),"331",IF(AND(OR(L2743="131",M2743="131"),H2743='131-CT'!$E$7),"131",""))</f>
        <v/>
      </c>
      <c r="O2743" s="857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65"/>
      <c r="AC2743" s="899"/>
      <c r="AD2743" s="899"/>
    </row>
    <row r="2744" spans="1:30" s="900" customFormat="1" ht="15.75" customHeight="1">
      <c r="A2744" s="895" t="str">
        <f>IF(B2744&lt;&gt;"",IF(AND(B2744&gt;=_TM1,B2744&lt;=_TM2,OR(TH!L2808="1111",TH!M2808="1111")),TH!D2808,""),"")</f>
        <v/>
      </c>
      <c r="B2744" s="896">
        <f t="shared" si="143"/>
        <v>1</v>
      </c>
      <c r="C2744" s="897">
        <f t="shared" si="144"/>
        <v>42385</v>
      </c>
      <c r="D2744" s="897" t="s">
        <v>1580</v>
      </c>
      <c r="E2744" s="48">
        <v>42385</v>
      </c>
      <c r="F2744" s="49" t="s">
        <v>924</v>
      </c>
      <c r="G2744" s="49" t="s">
        <v>925</v>
      </c>
      <c r="H2744" s="965" t="s">
        <v>1328</v>
      </c>
      <c r="I2744" s="254">
        <v>200</v>
      </c>
      <c r="J2744" s="254">
        <v>5256.0540584095188</v>
      </c>
      <c r="K2744" s="51">
        <f t="shared" si="145"/>
        <v>1051211</v>
      </c>
      <c r="L2744" s="966" t="s">
        <v>172</v>
      </c>
      <c r="M2744" s="966" t="s">
        <v>167</v>
      </c>
      <c r="N2744" s="52" t="str">
        <f>IF(AND('331-CT'!$E$7=TH!H2744,OR(L2744="331",M2744="331")),"331",IF(AND(OR(L2744="131",M2744="131"),H2744='131-CT'!$E$7),"131",""))</f>
        <v/>
      </c>
      <c r="O2744" s="857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65"/>
      <c r="AC2744" s="899"/>
    </row>
    <row r="2745" spans="1:30" s="900" customFormat="1" ht="15.75" customHeight="1">
      <c r="A2745" s="895" t="str">
        <f>IF(B2745&lt;&gt;"",IF(AND(B2745&gt;=_TM1,B2745&lt;=_TM2,OR(TH!L2506="1111",TH!M2506="1111")),TH!D2506,""),"")</f>
        <v/>
      </c>
      <c r="B2745" s="896">
        <f t="shared" si="143"/>
        <v>1</v>
      </c>
      <c r="C2745" s="897">
        <f t="shared" si="144"/>
        <v>42385</v>
      </c>
      <c r="D2745" s="897" t="s">
        <v>1580</v>
      </c>
      <c r="E2745" s="48">
        <v>42385</v>
      </c>
      <c r="F2745" s="49" t="s">
        <v>926</v>
      </c>
      <c r="G2745" s="49" t="s">
        <v>925</v>
      </c>
      <c r="H2745" s="965" t="s">
        <v>1328</v>
      </c>
      <c r="I2745" s="254">
        <v>200</v>
      </c>
      <c r="J2745" s="254">
        <v>5506.3423469052104</v>
      </c>
      <c r="K2745" s="51">
        <f t="shared" si="145"/>
        <v>1101268</v>
      </c>
      <c r="L2745" s="966" t="s">
        <v>172</v>
      </c>
      <c r="M2745" s="966" t="s">
        <v>167</v>
      </c>
      <c r="N2745" s="52" t="str">
        <f>IF(AND('331-CT'!$E$7=TH!H2745,OR(L2745="331",M2745="331")),"331",IF(AND(OR(L2745="131",M2745="131"),H2745='131-CT'!$E$7),"131",""))</f>
        <v/>
      </c>
      <c r="O2745" s="857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65"/>
    </row>
    <row r="2746" spans="1:30" s="900" customFormat="1" ht="15.75" customHeight="1">
      <c r="A2746" s="895" t="str">
        <f>IF(B2746&lt;&gt;"",IF(AND(B2746&gt;=_TM1,B2746&lt;=_TM2,OR(TH!L2733="1111",TH!M2733="1111")),TH!D2733,""),"")</f>
        <v/>
      </c>
      <c r="B2746" s="896">
        <f t="shared" ref="B2746:B2809" si="147">IF(C2746&lt;&gt;"",MONTH(C2746),"")</f>
        <v>1</v>
      </c>
      <c r="C2746" s="897">
        <f t="shared" si="144"/>
        <v>42385</v>
      </c>
      <c r="D2746" s="897" t="s">
        <v>1580</v>
      </c>
      <c r="E2746" s="48">
        <v>42385</v>
      </c>
      <c r="F2746" s="49" t="s">
        <v>927</v>
      </c>
      <c r="G2746" s="49" t="s">
        <v>925</v>
      </c>
      <c r="H2746" s="965" t="s">
        <v>1328</v>
      </c>
      <c r="I2746" s="254">
        <v>200</v>
      </c>
      <c r="J2746" s="254">
        <v>5339.4834879080827</v>
      </c>
      <c r="K2746" s="51">
        <f t="shared" si="145"/>
        <v>1067897</v>
      </c>
      <c r="L2746" s="966" t="s">
        <v>172</v>
      </c>
      <c r="M2746" s="966" t="s">
        <v>167</v>
      </c>
      <c r="N2746" s="52" t="str">
        <f>IF(AND('331-CT'!$E$7=TH!H2746,OR(L2746="331",M2746="331")),"331",IF(AND(OR(L2746="131",M2746="131"),H2746='131-CT'!$E$7),"131",""))</f>
        <v/>
      </c>
      <c r="O2746" s="857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65"/>
      <c r="AC2746" s="899"/>
      <c r="AD2746" s="899"/>
    </row>
    <row r="2747" spans="1:30" s="900" customFormat="1" ht="15.75" customHeight="1">
      <c r="A2747" s="895" t="str">
        <f>IF(B2747&lt;&gt;"",IF(AND(B2747&gt;=_TM1,B2747&lt;=_TM2,OR(TH!L2734="1111",TH!M2734="1111")),TH!D2734,""),"")</f>
        <v/>
      </c>
      <c r="B2747" s="896">
        <f t="shared" si="147"/>
        <v>1</v>
      </c>
      <c r="C2747" s="897">
        <f t="shared" si="144"/>
        <v>42388</v>
      </c>
      <c r="D2747" s="897" t="s">
        <v>1580</v>
      </c>
      <c r="E2747" s="48">
        <v>42388</v>
      </c>
      <c r="F2747" s="870" t="s">
        <v>928</v>
      </c>
      <c r="G2747" s="49" t="s">
        <v>929</v>
      </c>
      <c r="H2747" s="965" t="s">
        <v>1328</v>
      </c>
      <c r="I2747" s="254">
        <v>35</v>
      </c>
      <c r="J2747" s="254">
        <v>12097.267277291749</v>
      </c>
      <c r="K2747" s="51">
        <f t="shared" si="145"/>
        <v>423404</v>
      </c>
      <c r="L2747" s="966" t="s">
        <v>172</v>
      </c>
      <c r="M2747" s="966" t="s">
        <v>167</v>
      </c>
      <c r="N2747" s="52" t="str">
        <f>IF(AND('331-CT'!$E$7=TH!H2747,OR(L2747="331",M2747="331")),"331",IF(AND(OR(L2747="131",M2747="131"),H2747='131-CT'!$E$7),"131",""))</f>
        <v/>
      </c>
      <c r="O2747" s="857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65"/>
      <c r="AC2747" s="899"/>
    </row>
    <row r="2748" spans="1:30" s="900" customFormat="1" ht="15.75" customHeight="1">
      <c r="A2748" s="895" t="str">
        <f>IF(B2748&lt;&gt;"",IF(AND(B2748&gt;=_TM1,B2748&lt;=_TM2,OR(TH!L2735="1111",TH!M2735="1111")),TH!D2735,""),"")</f>
        <v/>
      </c>
      <c r="B2748" s="896">
        <f t="shared" si="147"/>
        <v>1</v>
      </c>
      <c r="C2748" s="897">
        <f t="shared" si="144"/>
        <v>42388</v>
      </c>
      <c r="D2748" s="897" t="s">
        <v>1580</v>
      </c>
      <c r="E2748" s="48">
        <v>42388</v>
      </c>
      <c r="F2748" s="49" t="s">
        <v>930</v>
      </c>
      <c r="G2748" s="49" t="s">
        <v>929</v>
      </c>
      <c r="H2748" s="965" t="s">
        <v>1328</v>
      </c>
      <c r="I2748" s="254">
        <v>55</v>
      </c>
      <c r="J2748" s="254">
        <v>10595.537546317601</v>
      </c>
      <c r="K2748" s="51">
        <f t="shared" si="145"/>
        <v>582755</v>
      </c>
      <c r="L2748" s="966" t="s">
        <v>172</v>
      </c>
      <c r="M2748" s="966" t="s">
        <v>167</v>
      </c>
      <c r="N2748" s="52" t="str">
        <f>IF(AND('331-CT'!$E$7=TH!H2748,OR(L2748="331",M2748="331")),"331",IF(AND(OR(L2748="131",M2748="131"),H2748='131-CT'!$E$7),"131",""))</f>
        <v/>
      </c>
      <c r="O2748" s="857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65"/>
      <c r="AC2748" s="899"/>
    </row>
    <row r="2749" spans="1:30" s="900" customFormat="1" ht="15.75" customHeight="1">
      <c r="A2749" s="895" t="str">
        <f>IF(B2749&lt;&gt;"",IF(AND(B2749&gt;=_TM1,B2749&lt;=_TM2,OR(TH!L2809="1111",TH!M2809="1111")),TH!D2809,""),"")</f>
        <v/>
      </c>
      <c r="B2749" s="896">
        <f t="shared" si="147"/>
        <v>1</v>
      </c>
      <c r="C2749" s="897">
        <f t="shared" si="144"/>
        <v>42388</v>
      </c>
      <c r="D2749" s="897" t="s">
        <v>1580</v>
      </c>
      <c r="E2749" s="48">
        <v>42388</v>
      </c>
      <c r="F2749" s="870" t="s">
        <v>931</v>
      </c>
      <c r="G2749" s="49" t="s">
        <v>929</v>
      </c>
      <c r="H2749" s="965" t="s">
        <v>1328</v>
      </c>
      <c r="I2749" s="254">
        <v>50</v>
      </c>
      <c r="J2749" s="254">
        <v>11429.831841303239</v>
      </c>
      <c r="K2749" s="51">
        <f t="shared" si="145"/>
        <v>571492</v>
      </c>
      <c r="L2749" s="966" t="s">
        <v>172</v>
      </c>
      <c r="M2749" s="966" t="s">
        <v>167</v>
      </c>
      <c r="N2749" s="52" t="str">
        <f>IF(AND('331-CT'!$E$7=TH!H2749,OR(L2749="331",M2749="331")),"331",IF(AND(OR(L2749="131",M2749="131"),H2749='131-CT'!$E$7),"131",""))</f>
        <v/>
      </c>
      <c r="O2749" s="857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65"/>
      <c r="AC2749" s="899"/>
      <c r="AD2749" s="899"/>
    </row>
    <row r="2750" spans="1:30" s="900" customFormat="1" ht="15.75" customHeight="1">
      <c r="A2750" s="895" t="str">
        <f>IF(B2750&lt;&gt;"",IF(AND(B2750&gt;=_TM1,B2750&lt;=_TM2,OR(TH!L2810="1111",TH!M2810="1111")),TH!D2810,""),"")</f>
        <v/>
      </c>
      <c r="B2750" s="896">
        <f t="shared" si="147"/>
        <v>1</v>
      </c>
      <c r="C2750" s="897">
        <f t="shared" si="144"/>
        <v>42388</v>
      </c>
      <c r="D2750" s="897" t="s">
        <v>1580</v>
      </c>
      <c r="E2750" s="48">
        <v>42388</v>
      </c>
      <c r="F2750" s="49" t="s">
        <v>510</v>
      </c>
      <c r="G2750" s="49" t="s">
        <v>929</v>
      </c>
      <c r="H2750" s="965" t="s">
        <v>1328</v>
      </c>
      <c r="I2750" s="254">
        <v>510</v>
      </c>
      <c r="J2750" s="254">
        <v>10595.537546317601</v>
      </c>
      <c r="K2750" s="51">
        <f t="shared" si="145"/>
        <v>5403724</v>
      </c>
      <c r="L2750" s="966" t="s">
        <v>172</v>
      </c>
      <c r="M2750" s="966" t="s">
        <v>167</v>
      </c>
      <c r="N2750" s="52" t="str">
        <f>IF(AND('331-CT'!$E$7=TH!H2750,OR(L2750="331",M2750="331")),"331",IF(AND(OR(L2750="131",M2750="131"),H2750='131-CT'!$E$7),"131",""))</f>
        <v/>
      </c>
      <c r="O2750" s="857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65"/>
      <c r="AC2750" s="899"/>
    </row>
    <row r="2751" spans="1:30" s="900" customFormat="1" ht="15.75" customHeight="1">
      <c r="A2751" s="895" t="str">
        <f>IF(B2751&lt;&gt;"",IF(AND(B2751&gt;=_TM1,B2751&lt;=_TM2,OR(TH!L2736="1111",TH!M2736="1111")),TH!D2736,""),"")</f>
        <v/>
      </c>
      <c r="B2751" s="896">
        <f t="shared" si="147"/>
        <v>1</v>
      </c>
      <c r="C2751" s="897">
        <f t="shared" ref="C2751:C2814" si="148">E2751</f>
        <v>42388</v>
      </c>
      <c r="D2751" s="897" t="s">
        <v>1580</v>
      </c>
      <c r="E2751" s="48">
        <v>42388</v>
      </c>
      <c r="F2751" s="49" t="s">
        <v>932</v>
      </c>
      <c r="G2751" s="49" t="s">
        <v>929</v>
      </c>
      <c r="H2751" s="965" t="s">
        <v>1328</v>
      </c>
      <c r="I2751" s="254">
        <v>235</v>
      </c>
      <c r="J2751" s="254">
        <v>10178.390398824782</v>
      </c>
      <c r="K2751" s="51">
        <f t="shared" si="145"/>
        <v>2391922</v>
      </c>
      <c r="L2751" s="966" t="s">
        <v>172</v>
      </c>
      <c r="M2751" s="966" t="s">
        <v>167</v>
      </c>
      <c r="N2751" s="52" t="str">
        <f>IF(AND('331-CT'!$E$7=TH!H2751,OR(L2751="331",M2751="331")),"331",IF(AND(OR(L2751="131",M2751="131"),H2751='131-CT'!$E$7),"131",""))</f>
        <v/>
      </c>
      <c r="O2751" s="857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65"/>
      <c r="AC2751" s="899"/>
      <c r="AD2751" s="899"/>
    </row>
    <row r="2752" spans="1:30" s="900" customFormat="1" ht="15.75" customHeight="1">
      <c r="A2752" s="895" t="str">
        <f>IF(B2752&lt;&gt;"",IF(AND(B2752&gt;=_TM1,B2752&lt;=_TM2,OR(TH!L2737="1111",TH!M2737="1111")),TH!D2737,""),"")</f>
        <v/>
      </c>
      <c r="B2752" s="896">
        <f t="shared" si="147"/>
        <v>1</v>
      </c>
      <c r="C2752" s="897">
        <f t="shared" si="148"/>
        <v>42388</v>
      </c>
      <c r="D2752" s="897" t="s">
        <v>1580</v>
      </c>
      <c r="E2752" s="48">
        <v>42388</v>
      </c>
      <c r="F2752" s="49" t="s">
        <v>511</v>
      </c>
      <c r="G2752" s="49" t="s">
        <v>929</v>
      </c>
      <c r="H2752" s="965" t="s">
        <v>1328</v>
      </c>
      <c r="I2752" s="254">
        <v>110</v>
      </c>
      <c r="J2752" s="254">
        <v>6924.6426483807936</v>
      </c>
      <c r="K2752" s="51">
        <f t="shared" ref="K2752:K2815" si="149">ROUND(I2752*J2752,0)</f>
        <v>761711</v>
      </c>
      <c r="L2752" s="966" t="s">
        <v>172</v>
      </c>
      <c r="M2752" s="966" t="s">
        <v>167</v>
      </c>
      <c r="N2752" s="52" t="str">
        <f>IF(AND('331-CT'!$E$7=TH!H2752,OR(L2752="331",M2752="331")),"331",IF(AND(OR(L2752="131",M2752="131"),H2752='131-CT'!$E$7),"131",""))</f>
        <v/>
      </c>
      <c r="O2752" s="857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65"/>
      <c r="AC2752" s="899"/>
    </row>
    <row r="2753" spans="1:30" s="900" customFormat="1" ht="15.75" customHeight="1">
      <c r="A2753" s="895" t="str">
        <f>IF(B2753&lt;&gt;"",IF(AND(B2753&gt;=_TM1,B2753&lt;=_TM2,OR(TH!L2738="1111",TH!M2738="1111")),TH!D2738,""),"")</f>
        <v/>
      </c>
      <c r="B2753" s="896">
        <f t="shared" si="147"/>
        <v>1</v>
      </c>
      <c r="C2753" s="897">
        <f t="shared" si="148"/>
        <v>42388</v>
      </c>
      <c r="D2753" s="897" t="s">
        <v>1580</v>
      </c>
      <c r="E2753" s="869">
        <v>42388</v>
      </c>
      <c r="F2753" s="870" t="s">
        <v>933</v>
      </c>
      <c r="G2753" s="871" t="s">
        <v>929</v>
      </c>
      <c r="H2753" s="965" t="s">
        <v>1328</v>
      </c>
      <c r="I2753" s="254">
        <v>24</v>
      </c>
      <c r="J2753" s="254">
        <v>8926.9489563463248</v>
      </c>
      <c r="K2753" s="51">
        <f t="shared" si="149"/>
        <v>214247</v>
      </c>
      <c r="L2753" s="966" t="s">
        <v>172</v>
      </c>
      <c r="M2753" s="966" t="s">
        <v>167</v>
      </c>
      <c r="N2753" s="52" t="str">
        <f>IF(AND('331-CT'!$E$7=TH!H2753,OR(L2753="331",M2753="331")),"331",IF(AND(OR(L2753="131",M2753="131"),H2753='131-CT'!$E$7),"131",""))</f>
        <v/>
      </c>
      <c r="O2753" s="857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65"/>
      <c r="AC2753" s="899"/>
    </row>
    <row r="2754" spans="1:30" s="900" customFormat="1" ht="15.75" customHeight="1">
      <c r="A2754" s="895" t="str">
        <f>IF(B2754&lt;&gt;"",IF(AND(B2754&gt;=_TM1,B2754&lt;=_TM2,OR(TH!L2717="1111",TH!M2717="1111")),TH!D2717,""),"")</f>
        <v/>
      </c>
      <c r="B2754" s="896">
        <f t="shared" si="147"/>
        <v>1</v>
      </c>
      <c r="C2754" s="897">
        <f t="shared" si="148"/>
        <v>42388</v>
      </c>
      <c r="D2754" s="897" t="s">
        <v>1580</v>
      </c>
      <c r="E2754" s="869">
        <v>42388</v>
      </c>
      <c r="F2754" s="870" t="s">
        <v>503</v>
      </c>
      <c r="G2754" s="871" t="s">
        <v>929</v>
      </c>
      <c r="H2754" s="965" t="s">
        <v>1328</v>
      </c>
      <c r="I2754" s="254">
        <v>55</v>
      </c>
      <c r="J2754" s="254">
        <v>8259.5135203578157</v>
      </c>
      <c r="K2754" s="51">
        <f t="shared" si="149"/>
        <v>454273</v>
      </c>
      <c r="L2754" s="966" t="s">
        <v>172</v>
      </c>
      <c r="M2754" s="966" t="s">
        <v>167</v>
      </c>
      <c r="N2754" s="52" t="str">
        <f>IF(AND('331-CT'!$E$7=TH!H2754,OR(L2754="331",M2754="331")),"331",IF(AND(OR(L2754="131",M2754="131"),H2754='131-CT'!$E$7),"131",""))</f>
        <v/>
      </c>
      <c r="O2754" s="857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65"/>
    </row>
    <row r="2755" spans="1:30" s="900" customFormat="1" ht="15.75" customHeight="1">
      <c r="A2755" s="895" t="str">
        <f>IF(B2755&lt;&gt;"",IF(AND(B2755&gt;=_TM1,B2755&lt;=_TM2,OR(TH!L2718="1111",TH!M2718="1111")),TH!D2718,""),"")</f>
        <v/>
      </c>
      <c r="B2755" s="896">
        <f t="shared" si="147"/>
        <v>1</v>
      </c>
      <c r="C2755" s="897">
        <f t="shared" si="148"/>
        <v>42388</v>
      </c>
      <c r="D2755" s="897" t="s">
        <v>1580</v>
      </c>
      <c r="E2755" s="869">
        <v>42388</v>
      </c>
      <c r="F2755" s="870" t="s">
        <v>1466</v>
      </c>
      <c r="G2755" s="970" t="s">
        <v>934</v>
      </c>
      <c r="H2755" s="965" t="s">
        <v>1328</v>
      </c>
      <c r="I2755" s="923">
        <v>2000</v>
      </c>
      <c r="J2755" s="254">
        <v>9761.2432513319618</v>
      </c>
      <c r="K2755" s="51">
        <f t="shared" si="149"/>
        <v>19522487</v>
      </c>
      <c r="L2755" s="966" t="s">
        <v>172</v>
      </c>
      <c r="M2755" s="966" t="s">
        <v>167</v>
      </c>
      <c r="N2755" s="52" t="str">
        <f>IF(AND('331-CT'!$E$7=TH!H2755,OR(L2755="331",M2755="331")),"331",IF(AND(OR(L2755="131",M2755="131"),H2755='131-CT'!$E$7),"131",""))</f>
        <v/>
      </c>
      <c r="O2755" s="857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65"/>
    </row>
    <row r="2756" spans="1:30" s="900" customFormat="1" ht="15.75" customHeight="1">
      <c r="A2756" s="895" t="str">
        <f>IF(B2756&lt;&gt;"",IF(AND(B2756&gt;=_TM1,B2756&lt;=_TM2,OR(TH!L2800="1111",TH!M2800="1111")),TH!D2800,""),"")</f>
        <v/>
      </c>
      <c r="B2756" s="896">
        <f t="shared" si="147"/>
        <v>1</v>
      </c>
      <c r="C2756" s="897">
        <f t="shared" si="148"/>
        <v>42388</v>
      </c>
      <c r="D2756" s="897" t="s">
        <v>1580</v>
      </c>
      <c r="E2756" s="869">
        <v>42388</v>
      </c>
      <c r="F2756" s="870" t="s">
        <v>901</v>
      </c>
      <c r="G2756" s="970" t="s">
        <v>935</v>
      </c>
      <c r="H2756" s="965" t="s">
        <v>1328</v>
      </c>
      <c r="I2756" s="923">
        <v>2539</v>
      </c>
      <c r="J2756" s="254">
        <v>12097.267277291749</v>
      </c>
      <c r="K2756" s="51">
        <f t="shared" si="149"/>
        <v>30714962</v>
      </c>
      <c r="L2756" s="966" t="s">
        <v>172</v>
      </c>
      <c r="M2756" s="966" t="s">
        <v>167</v>
      </c>
      <c r="N2756" s="52" t="str">
        <f>IF(AND('331-CT'!$E$7=TH!H2756,OR(L2756="331",M2756="331")),"331",IF(AND(OR(L2756="131",M2756="131"),H2756='131-CT'!$E$7),"131",""))</f>
        <v/>
      </c>
      <c r="O2756" s="857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65"/>
      <c r="AC2756" s="899"/>
      <c r="AD2756" s="899"/>
    </row>
    <row r="2757" spans="1:30" s="900" customFormat="1" ht="15.75" customHeight="1">
      <c r="A2757" s="895" t="str">
        <f>IF(B2757&lt;&gt;"",IF(AND(B2757&gt;=_TM1,B2757&lt;=_TM2,OR(TH!L2801="1111",TH!M2801="1111")),TH!D2801,""),"")</f>
        <v/>
      </c>
      <c r="B2757" s="896">
        <f t="shared" si="147"/>
        <v>1</v>
      </c>
      <c r="C2757" s="897">
        <f t="shared" si="148"/>
        <v>42389</v>
      </c>
      <c r="D2757" s="897" t="s">
        <v>1580</v>
      </c>
      <c r="E2757" s="963">
        <v>42389</v>
      </c>
      <c r="F2757" s="967" t="s">
        <v>657</v>
      </c>
      <c r="G2757" s="49" t="s">
        <v>937</v>
      </c>
      <c r="H2757" s="965" t="s">
        <v>1328</v>
      </c>
      <c r="I2757" s="254">
        <v>313</v>
      </c>
      <c r="J2757" s="254">
        <v>6257.2072123922844</v>
      </c>
      <c r="K2757" s="51">
        <f t="shared" si="149"/>
        <v>1958506</v>
      </c>
      <c r="L2757" s="966" t="s">
        <v>172</v>
      </c>
      <c r="M2757" s="966" t="s">
        <v>167</v>
      </c>
      <c r="N2757" s="52" t="str">
        <f>IF(AND('331-CT'!$E$7=TH!H2757,OR(L2757="331",M2757="331")),"331",IF(AND(OR(L2757="131",M2757="131"),H2757='131-CT'!$E$7),"131",""))</f>
        <v/>
      </c>
      <c r="O2757" s="857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65"/>
      <c r="AC2757" s="899"/>
      <c r="AD2757" s="899"/>
    </row>
    <row r="2758" spans="1:30" s="900" customFormat="1" ht="15.75" customHeight="1">
      <c r="A2758" s="895" t="str">
        <f>IF(B2758&lt;&gt;"",IF(AND(B2758&gt;=_TM1,B2758&lt;=_TM2,OR(TH!L2802="1111",TH!M2802="1111")),TH!D2802,""),"")</f>
        <v/>
      </c>
      <c r="B2758" s="896">
        <f t="shared" si="147"/>
        <v>1</v>
      </c>
      <c r="C2758" s="897">
        <f t="shared" si="148"/>
        <v>42389</v>
      </c>
      <c r="D2758" s="897" t="s">
        <v>1580</v>
      </c>
      <c r="E2758" s="963">
        <v>42389</v>
      </c>
      <c r="F2758" s="49" t="s">
        <v>1474</v>
      </c>
      <c r="G2758" s="49" t="s">
        <v>937</v>
      </c>
      <c r="H2758" s="965" t="s">
        <v>1328</v>
      </c>
      <c r="I2758" s="254">
        <v>321</v>
      </c>
      <c r="J2758" s="254">
        <v>7925.7958023635592</v>
      </c>
      <c r="K2758" s="51">
        <f t="shared" si="149"/>
        <v>2544180</v>
      </c>
      <c r="L2758" s="966" t="s">
        <v>172</v>
      </c>
      <c r="M2758" s="966" t="s">
        <v>167</v>
      </c>
      <c r="N2758" s="52" t="str">
        <f>IF(AND('331-CT'!$E$7=TH!H2758,OR(L2758="331",M2758="331")),"331",IF(AND(OR(L2758="131",M2758="131"),H2758='131-CT'!$E$7),"131",""))</f>
        <v/>
      </c>
      <c r="O2758" s="857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65"/>
      <c r="AC2758" s="899"/>
      <c r="AD2758" s="899"/>
    </row>
    <row r="2759" spans="1:30" s="900" customFormat="1" ht="15.75" customHeight="1">
      <c r="A2759" s="895" t="str">
        <f>IF(B2759&lt;&gt;"",IF(AND(B2759&gt;=_TM1,B2759&lt;=_TM2,OR(TH!L2803="1111",TH!M2803="1111")),TH!D2803,""),"")</f>
        <v/>
      </c>
      <c r="B2759" s="896">
        <f t="shared" si="147"/>
        <v>1</v>
      </c>
      <c r="C2759" s="897">
        <f t="shared" si="148"/>
        <v>42389</v>
      </c>
      <c r="D2759" s="897" t="s">
        <v>1580</v>
      </c>
      <c r="E2759" s="963">
        <v>42389</v>
      </c>
      <c r="F2759" s="967" t="s">
        <v>1474</v>
      </c>
      <c r="G2759" s="49" t="s">
        <v>937</v>
      </c>
      <c r="H2759" s="965" t="s">
        <v>1328</v>
      </c>
      <c r="I2759" s="254">
        <v>105</v>
      </c>
      <c r="J2759" s="254">
        <v>7925.7958023635592</v>
      </c>
      <c r="K2759" s="51">
        <f t="shared" si="149"/>
        <v>832209</v>
      </c>
      <c r="L2759" s="966" t="s">
        <v>172</v>
      </c>
      <c r="M2759" s="966" t="s">
        <v>167</v>
      </c>
      <c r="N2759" s="52" t="str">
        <f>IF(AND('331-CT'!$E$7=TH!H2759,OR(L2759="331",M2759="331")),"331",IF(AND(OR(L2759="131",M2759="131"),H2759='131-CT'!$E$7),"131",""))</f>
        <v/>
      </c>
      <c r="O2759" s="857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65"/>
      <c r="AC2759" s="899"/>
    </row>
    <row r="2760" spans="1:30" s="900" customFormat="1" ht="15.75" customHeight="1">
      <c r="A2760" s="895" t="str">
        <f>IF(B2760&lt;&gt;"",IF(AND(B2760&gt;=_TM1,B2760&lt;=_TM2,OR(TH!L2796="1111",TH!M2796="1111")),TH!D2796,""),"")</f>
        <v/>
      </c>
      <c r="B2760" s="896">
        <f t="shared" si="147"/>
        <v>1</v>
      </c>
      <c r="C2760" s="897">
        <f t="shared" si="148"/>
        <v>42389</v>
      </c>
      <c r="D2760" s="897" t="s">
        <v>1580</v>
      </c>
      <c r="E2760" s="963">
        <v>42389</v>
      </c>
      <c r="F2760" s="964" t="s">
        <v>1474</v>
      </c>
      <c r="G2760" s="49" t="s">
        <v>937</v>
      </c>
      <c r="H2760" s="965" t="s">
        <v>1328</v>
      </c>
      <c r="I2760" s="254">
        <v>203</v>
      </c>
      <c r="J2760" s="254">
        <v>8092.654661360687</v>
      </c>
      <c r="K2760" s="51">
        <f t="shared" si="149"/>
        <v>1642809</v>
      </c>
      <c r="L2760" s="966" t="s">
        <v>172</v>
      </c>
      <c r="M2760" s="966" t="s">
        <v>167</v>
      </c>
      <c r="N2760" s="52" t="str">
        <f>IF(AND('331-CT'!$E$7=TH!H2760,OR(L2760="331",M2760="331")),"331",IF(AND(OR(L2760="131",M2760="131"),H2760='131-CT'!$E$7),"131",""))</f>
        <v/>
      </c>
      <c r="O2760" s="857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65"/>
      <c r="AC2760" s="899"/>
      <c r="AD2760" s="899"/>
    </row>
    <row r="2761" spans="1:30" s="900" customFormat="1" ht="15.75" customHeight="1">
      <c r="A2761" s="895" t="str">
        <f>IF(B2761&lt;&gt;"",IF(AND(B2761&gt;=_TM1,B2761&lt;=_TM2,OR(TH!L2797="1111",TH!M2797="1111")),TH!D2797,""),"")</f>
        <v/>
      </c>
      <c r="B2761" s="896">
        <f t="shared" si="147"/>
        <v>1</v>
      </c>
      <c r="C2761" s="897">
        <f t="shared" si="148"/>
        <v>42389</v>
      </c>
      <c r="D2761" s="897" t="s">
        <v>1580</v>
      </c>
      <c r="E2761" s="963">
        <v>42389</v>
      </c>
      <c r="F2761" s="964" t="s">
        <v>1340</v>
      </c>
      <c r="G2761" s="49" t="s">
        <v>420</v>
      </c>
      <c r="H2761" s="965" t="s">
        <v>1328</v>
      </c>
      <c r="I2761" s="254">
        <v>100</v>
      </c>
      <c r="J2761" s="254">
        <v>11096.114123308984</v>
      </c>
      <c r="K2761" s="51">
        <f t="shared" si="149"/>
        <v>1109611</v>
      </c>
      <c r="L2761" s="966" t="s">
        <v>172</v>
      </c>
      <c r="M2761" s="966" t="s">
        <v>167</v>
      </c>
      <c r="N2761" s="52" t="str">
        <f>IF(AND('331-CT'!$E$7=TH!H2761,OR(L2761="331",M2761="331")),"331",IF(AND(OR(L2761="131",M2761="131"),H2761='131-CT'!$E$7),"131",""))</f>
        <v/>
      </c>
      <c r="O2761" s="857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65"/>
      <c r="AC2761" s="899"/>
    </row>
    <row r="2762" spans="1:30" s="900" customFormat="1" ht="15.75" customHeight="1">
      <c r="A2762" s="895" t="str">
        <f>IF(B2762&lt;&gt;"",IF(AND(B2762&gt;=_TM1,B2762&lt;=_TM2,OR(TH!L2724="1111",TH!M2724="1111")),TH!D2724,""),"")</f>
        <v/>
      </c>
      <c r="B2762" s="896">
        <f t="shared" si="147"/>
        <v>1</v>
      </c>
      <c r="C2762" s="897">
        <f t="shared" si="148"/>
        <v>42390</v>
      </c>
      <c r="D2762" s="897" t="s">
        <v>1580</v>
      </c>
      <c r="E2762" s="963">
        <v>42390</v>
      </c>
      <c r="F2762" s="967" t="s">
        <v>419</v>
      </c>
      <c r="G2762" s="49" t="s">
        <v>424</v>
      </c>
      <c r="H2762" s="965" t="s">
        <v>1328</v>
      </c>
      <c r="I2762" s="968">
        <v>951</v>
      </c>
      <c r="J2762" s="254">
        <v>6841.2132188822297</v>
      </c>
      <c r="K2762" s="51">
        <f t="shared" si="149"/>
        <v>6505994</v>
      </c>
      <c r="L2762" s="966" t="s">
        <v>172</v>
      </c>
      <c r="M2762" s="966" t="s">
        <v>167</v>
      </c>
      <c r="N2762" s="52" t="str">
        <f>IF(AND('331-CT'!$E$7=TH!H2762,OR(L2762="331",M2762="331")),"331",IF(AND(OR(L2762="131",M2762="131"),H2762='131-CT'!$E$7),"131",""))</f>
        <v/>
      </c>
      <c r="O2762" s="857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65"/>
      <c r="AC2762" s="899"/>
      <c r="AD2762" s="899"/>
    </row>
    <row r="2763" spans="1:30" s="900" customFormat="1" ht="15.75" customHeight="1">
      <c r="A2763" s="895" t="str">
        <f>IF(B2763&lt;&gt;"",IF(AND(B2763&gt;=_TM1,B2763&lt;=_TM2,OR(TH!L2725="1111",TH!M2725="1111")),TH!D2725,""),"")</f>
        <v/>
      </c>
      <c r="B2763" s="896">
        <f t="shared" si="147"/>
        <v>1</v>
      </c>
      <c r="C2763" s="897">
        <f t="shared" si="148"/>
        <v>42391</v>
      </c>
      <c r="D2763" s="897" t="s">
        <v>1580</v>
      </c>
      <c r="E2763" s="963">
        <v>42391</v>
      </c>
      <c r="F2763" s="967" t="s">
        <v>690</v>
      </c>
      <c r="G2763" s="49" t="s">
        <v>425</v>
      </c>
      <c r="H2763" s="965" t="s">
        <v>1328</v>
      </c>
      <c r="I2763" s="254">
        <v>312</v>
      </c>
      <c r="J2763" s="254">
        <v>4755.4774814181355</v>
      </c>
      <c r="K2763" s="51">
        <f t="shared" si="149"/>
        <v>1483709</v>
      </c>
      <c r="L2763" s="966" t="s">
        <v>172</v>
      </c>
      <c r="M2763" s="966" t="s">
        <v>167</v>
      </c>
      <c r="N2763" s="52" t="str">
        <f>IF(AND('331-CT'!$E$7=TH!H2763,OR(L2763="331",M2763="331")),"331",IF(AND(OR(L2763="131",M2763="131"),H2763='131-CT'!$E$7),"131",""))</f>
        <v/>
      </c>
      <c r="O2763" s="857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65"/>
      <c r="AC2763" s="899"/>
    </row>
    <row r="2764" spans="1:30" s="900" customFormat="1" ht="15.75" customHeight="1">
      <c r="A2764" s="895" t="str">
        <f>IF(B2764&lt;&gt;"",IF(AND(B2764&gt;=_TM1,B2764&lt;=_TM2,OR(TH!L2726="1111",TH!M2726="1111")),TH!D2726,""),"")</f>
        <v/>
      </c>
      <c r="B2764" s="896">
        <f t="shared" si="147"/>
        <v>1</v>
      </c>
      <c r="C2764" s="897">
        <f t="shared" si="148"/>
        <v>42391</v>
      </c>
      <c r="D2764" s="897" t="s">
        <v>1580</v>
      </c>
      <c r="E2764" s="963">
        <v>42391</v>
      </c>
      <c r="F2764" s="967" t="s">
        <v>938</v>
      </c>
      <c r="G2764" s="49" t="s">
        <v>425</v>
      </c>
      <c r="H2764" s="965" t="s">
        <v>1328</v>
      </c>
      <c r="I2764" s="968">
        <v>500</v>
      </c>
      <c r="J2764" s="254">
        <v>5589.7717764037743</v>
      </c>
      <c r="K2764" s="51">
        <f t="shared" si="149"/>
        <v>2794886</v>
      </c>
      <c r="L2764" s="966" t="s">
        <v>172</v>
      </c>
      <c r="M2764" s="966" t="s">
        <v>167</v>
      </c>
      <c r="N2764" s="52" t="str">
        <f>IF(AND('331-CT'!$E$7=TH!H2764,OR(L2764="331",M2764="331")),"331",IF(AND(OR(L2764="131",M2764="131"),H2764='131-CT'!$E$7),"131",""))</f>
        <v/>
      </c>
      <c r="O2764" s="857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65"/>
      <c r="AC2764" s="899"/>
    </row>
    <row r="2765" spans="1:30" s="900" customFormat="1" ht="15.75" customHeight="1">
      <c r="A2765" s="895" t="str">
        <f>IF(B2765&lt;&gt;"",IF(AND(B2765&gt;=_TM1,B2765&lt;=_TM2,OR(TH!L2727="1111",TH!M2727="1111")),TH!D2727,""),"")</f>
        <v/>
      </c>
      <c r="B2765" s="896">
        <f t="shared" si="147"/>
        <v>1</v>
      </c>
      <c r="C2765" s="897">
        <f t="shared" si="148"/>
        <v>42391</v>
      </c>
      <c r="D2765" s="897" t="s">
        <v>1580</v>
      </c>
      <c r="E2765" s="869">
        <v>42391</v>
      </c>
      <c r="F2765" s="870" t="s">
        <v>939</v>
      </c>
      <c r="G2765" s="871" t="s">
        <v>425</v>
      </c>
      <c r="H2765" s="965" t="s">
        <v>1328</v>
      </c>
      <c r="I2765" s="923">
        <v>348</v>
      </c>
      <c r="J2765" s="923">
        <v>3837.7537569339343</v>
      </c>
      <c r="K2765" s="51">
        <f t="shared" si="149"/>
        <v>1335538</v>
      </c>
      <c r="L2765" s="966" t="s">
        <v>172</v>
      </c>
      <c r="M2765" s="966" t="s">
        <v>167</v>
      </c>
      <c r="N2765" s="52" t="str">
        <f>IF(AND('331-CT'!$E$7=TH!H2765,OR(L2765="331",M2765="331")),"331",IF(AND(OR(L2765="131",M2765="131"),H2765='131-CT'!$E$7),"131",""))</f>
        <v/>
      </c>
      <c r="O2765" s="857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65"/>
      <c r="AC2765" s="899"/>
      <c r="AD2765" s="899"/>
    </row>
    <row r="2766" spans="1:30" s="900" customFormat="1" ht="15.75" customHeight="1">
      <c r="A2766" s="895" t="str">
        <f>IF(B2766&lt;&gt;"",IF(AND(B2766&gt;=_TM1,B2766&lt;=_TM2,OR(TH!L2728="1111",TH!M2728="1111")),TH!D2728,""),"")</f>
        <v/>
      </c>
      <c r="B2766" s="896">
        <f t="shared" si="147"/>
        <v>1</v>
      </c>
      <c r="C2766" s="897">
        <f t="shared" si="148"/>
        <v>42391</v>
      </c>
      <c r="D2766" s="897" t="s">
        <v>1580</v>
      </c>
      <c r="E2766" s="869">
        <v>42391</v>
      </c>
      <c r="F2766" s="870" t="s">
        <v>1252</v>
      </c>
      <c r="G2766" s="871" t="s">
        <v>427</v>
      </c>
      <c r="H2766" s="965" t="s">
        <v>1328</v>
      </c>
      <c r="I2766" s="254">
        <v>22</v>
      </c>
      <c r="J2766" s="254">
        <v>10929.255264311856</v>
      </c>
      <c r="K2766" s="51">
        <f t="shared" si="149"/>
        <v>240444</v>
      </c>
      <c r="L2766" s="966" t="s">
        <v>172</v>
      </c>
      <c r="M2766" s="966" t="s">
        <v>167</v>
      </c>
      <c r="N2766" s="52" t="str">
        <f>IF(AND('331-CT'!$E$7=TH!H2766,OR(L2766="331",M2766="331")),"331",IF(AND(OR(L2766="131",M2766="131"),H2766='131-CT'!$E$7),"131",""))</f>
        <v/>
      </c>
      <c r="O2766" s="857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65"/>
      <c r="AC2766" s="899"/>
    </row>
    <row r="2767" spans="1:30" s="900" customFormat="1" ht="15.75" customHeight="1">
      <c r="A2767" s="895" t="str">
        <f>IF(B2767&lt;&gt;"",IF(AND(B2767&gt;=_TM1,B2767&lt;=_TM2,OR(TH!L2729="1111",TH!M2729="1111")),TH!D2729,""),"")</f>
        <v/>
      </c>
      <c r="B2767" s="896">
        <f t="shared" si="147"/>
        <v>1</v>
      </c>
      <c r="C2767" s="897">
        <f t="shared" si="148"/>
        <v>42391</v>
      </c>
      <c r="D2767" s="897" t="s">
        <v>1580</v>
      </c>
      <c r="E2767" s="869">
        <v>42391</v>
      </c>
      <c r="F2767" s="967" t="s">
        <v>1253</v>
      </c>
      <c r="G2767" s="871" t="s">
        <v>427</v>
      </c>
      <c r="H2767" s="965" t="s">
        <v>1328</v>
      </c>
      <c r="I2767" s="254">
        <v>50</v>
      </c>
      <c r="J2767" s="254">
        <v>7842.3663728649954</v>
      </c>
      <c r="K2767" s="51">
        <f t="shared" si="149"/>
        <v>392118</v>
      </c>
      <c r="L2767" s="966" t="s">
        <v>172</v>
      </c>
      <c r="M2767" s="966" t="s">
        <v>167</v>
      </c>
      <c r="N2767" s="52" t="str">
        <f>IF(AND('331-CT'!$E$7=TH!H2767,OR(L2767="331",M2767="331")),"331",IF(AND(OR(L2767="131",M2767="131"),H2767='131-CT'!$E$7),"131",""))</f>
        <v/>
      </c>
      <c r="O2767" s="857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65"/>
      <c r="AC2767" s="899"/>
    </row>
    <row r="2768" spans="1:30" s="900" customFormat="1" ht="15.75" customHeight="1">
      <c r="A2768" s="895" t="str">
        <f>IF(B2768&lt;&gt;"",IF(AND(B2768&gt;=_TM1,B2768&lt;=_TM2,OR(TH!L2804="1111",TH!M2804="1111")),TH!D2804,""),"")</f>
        <v/>
      </c>
      <c r="B2768" s="896">
        <f t="shared" si="147"/>
        <v>1</v>
      </c>
      <c r="C2768" s="897">
        <f t="shared" si="148"/>
        <v>42391</v>
      </c>
      <c r="D2768" s="897" t="s">
        <v>1580</v>
      </c>
      <c r="E2768" s="869">
        <v>42391</v>
      </c>
      <c r="F2768" s="967" t="s">
        <v>1238</v>
      </c>
      <c r="G2768" s="871" t="s">
        <v>427</v>
      </c>
      <c r="H2768" s="965" t="s">
        <v>1328</v>
      </c>
      <c r="I2768" s="254">
        <v>70</v>
      </c>
      <c r="J2768" s="254">
        <v>7842.3663728649954</v>
      </c>
      <c r="K2768" s="51">
        <f t="shared" si="149"/>
        <v>548966</v>
      </c>
      <c r="L2768" s="966" t="s">
        <v>172</v>
      </c>
      <c r="M2768" s="966" t="s">
        <v>167</v>
      </c>
      <c r="N2768" s="52" t="str">
        <f>IF(AND('331-CT'!$E$7=TH!H2768,OR(L2768="331",M2768="331")),"331",IF(AND(OR(L2768="131",M2768="131"),H2768='131-CT'!$E$7),"131",""))</f>
        <v/>
      </c>
      <c r="O2768" s="857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65"/>
      <c r="AC2768" s="899"/>
      <c r="AD2768" s="899"/>
    </row>
    <row r="2769" spans="1:30" s="900" customFormat="1" ht="15.75" customHeight="1">
      <c r="A2769" s="895" t="str">
        <f>IF(B2769&lt;&gt;"",IF(AND(B2769&gt;=_TM1,B2769&lt;=_TM2,OR(TH!L2805="1111",TH!M2805="1111")),TH!D2805,""),"")</f>
        <v/>
      </c>
      <c r="B2769" s="896">
        <f t="shared" si="147"/>
        <v>1</v>
      </c>
      <c r="C2769" s="897">
        <f t="shared" si="148"/>
        <v>42391</v>
      </c>
      <c r="D2769" s="897" t="s">
        <v>1580</v>
      </c>
      <c r="E2769" s="869">
        <v>42391</v>
      </c>
      <c r="F2769" s="49" t="s">
        <v>741</v>
      </c>
      <c r="G2769" s="871" t="s">
        <v>427</v>
      </c>
      <c r="H2769" s="965" t="s">
        <v>1328</v>
      </c>
      <c r="I2769" s="254">
        <v>297</v>
      </c>
      <c r="J2769" s="254">
        <v>7008.0720778793575</v>
      </c>
      <c r="K2769" s="51">
        <f t="shared" si="149"/>
        <v>2081397</v>
      </c>
      <c r="L2769" s="966" t="s">
        <v>172</v>
      </c>
      <c r="M2769" s="966" t="s">
        <v>167</v>
      </c>
      <c r="N2769" s="52" t="str">
        <f>IF(AND('331-CT'!$E$7=TH!H2769,OR(L2769="331",M2769="331")),"331",IF(AND(OR(L2769="131",M2769="131"),H2769='131-CT'!$E$7),"131",""))</f>
        <v/>
      </c>
      <c r="O2769" s="857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65"/>
      <c r="AC2769" s="899"/>
    </row>
    <row r="2770" spans="1:30" s="900" customFormat="1" ht="15.75" customHeight="1">
      <c r="A2770" s="895" t="str">
        <f>IF(B2770&lt;&gt;"",IF(AND(B2770&gt;=_TM1,B2770&lt;=_TM2,OR(TH!L2791="1111",TH!M2791="1111")),TH!D2791,""),"")</f>
        <v/>
      </c>
      <c r="B2770" s="896">
        <f t="shared" si="147"/>
        <v>1</v>
      </c>
      <c r="C2770" s="897">
        <f t="shared" si="148"/>
        <v>42391</v>
      </c>
      <c r="D2770" s="897" t="s">
        <v>1580</v>
      </c>
      <c r="E2770" s="869">
        <v>42391</v>
      </c>
      <c r="F2770" s="870" t="s">
        <v>1254</v>
      </c>
      <c r="G2770" s="871" t="s">
        <v>427</v>
      </c>
      <c r="H2770" s="965" t="s">
        <v>1328</v>
      </c>
      <c r="I2770" s="254">
        <v>900</v>
      </c>
      <c r="J2770" s="254">
        <v>8009.2252318621231</v>
      </c>
      <c r="K2770" s="51">
        <f t="shared" si="149"/>
        <v>7208303</v>
      </c>
      <c r="L2770" s="966" t="s">
        <v>172</v>
      </c>
      <c r="M2770" s="966" t="s">
        <v>167</v>
      </c>
      <c r="N2770" s="52" t="str">
        <f>IF(AND('331-CT'!$E$7=TH!H2770,OR(L2770="331",M2770="331")),"331",IF(AND(OR(L2770="131",M2770="131"),H2770='131-CT'!$E$7),"131",""))</f>
        <v/>
      </c>
      <c r="O2770" s="857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65"/>
      <c r="AC2770" s="899"/>
      <c r="AD2770" s="899"/>
    </row>
    <row r="2771" spans="1:30" s="900" customFormat="1" ht="15.75" customHeight="1">
      <c r="A2771" s="895" t="str">
        <f>IF(B2771&lt;&gt;"",IF(AND(B2771&gt;=_TM1,B2771&lt;=_TM2,OR(TH!L2792="1111",TH!M2792="1111")),TH!D2792,""),"")</f>
        <v/>
      </c>
      <c r="B2771" s="896">
        <f t="shared" si="147"/>
        <v>1</v>
      </c>
      <c r="C2771" s="897">
        <f t="shared" si="148"/>
        <v>42391</v>
      </c>
      <c r="D2771" s="897" t="s">
        <v>1580</v>
      </c>
      <c r="E2771" s="869">
        <v>42391</v>
      </c>
      <c r="F2771" s="870" t="s">
        <v>739</v>
      </c>
      <c r="G2771" s="871" t="s">
        <v>427</v>
      </c>
      <c r="H2771" s="965" t="s">
        <v>1328</v>
      </c>
      <c r="I2771" s="254">
        <v>300</v>
      </c>
      <c r="J2771" s="254">
        <v>13181.849860773078</v>
      </c>
      <c r="K2771" s="51">
        <f t="shared" si="149"/>
        <v>3954555</v>
      </c>
      <c r="L2771" s="966" t="s">
        <v>172</v>
      </c>
      <c r="M2771" s="966" t="s">
        <v>167</v>
      </c>
      <c r="N2771" s="52" t="str">
        <f>IF(AND('331-CT'!$E$7=TH!H2771,OR(L2771="331",M2771="331")),"331",IF(AND(OR(L2771="131",M2771="131"),H2771='131-CT'!$E$7),"131",""))</f>
        <v/>
      </c>
      <c r="O2771" s="857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65"/>
      <c r="AC2771" s="899"/>
    </row>
    <row r="2772" spans="1:30" s="900" customFormat="1" ht="15.75" customHeight="1">
      <c r="A2772" s="895" t="str">
        <f>IF(B2772&lt;&gt;"",IF(AND(B2772&gt;=_TM1,B2772&lt;=_TM2,OR(TH!L2721="1111",TH!M2721="1111")),TH!D2721,""),"")</f>
        <v/>
      </c>
      <c r="B2772" s="896">
        <f t="shared" si="147"/>
        <v>1</v>
      </c>
      <c r="C2772" s="897">
        <f t="shared" si="148"/>
        <v>42391</v>
      </c>
      <c r="D2772" s="897" t="s">
        <v>1580</v>
      </c>
      <c r="E2772" s="963">
        <v>42391</v>
      </c>
      <c r="F2772" s="49" t="s">
        <v>743</v>
      </c>
      <c r="G2772" s="49" t="s">
        <v>427</v>
      </c>
      <c r="H2772" s="965" t="s">
        <v>1328</v>
      </c>
      <c r="I2772" s="254">
        <v>10</v>
      </c>
      <c r="J2772" s="254">
        <v>16685.885899712757</v>
      </c>
      <c r="K2772" s="51">
        <f t="shared" si="149"/>
        <v>166859</v>
      </c>
      <c r="L2772" s="966" t="s">
        <v>172</v>
      </c>
      <c r="M2772" s="966" t="s">
        <v>167</v>
      </c>
      <c r="N2772" s="52" t="str">
        <f>IF(AND('331-CT'!$E$7=TH!H2772,OR(L2772="331",M2772="331")),"331",IF(AND(OR(L2772="131",M2772="131"),H2772='131-CT'!$E$7),"131",""))</f>
        <v/>
      </c>
      <c r="O2772" s="857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65"/>
      <c r="AC2772" s="899"/>
      <c r="AD2772" s="899"/>
    </row>
    <row r="2773" spans="1:30" s="900" customFormat="1" ht="15.75" customHeight="1">
      <c r="A2773" s="895" t="str">
        <f>IF(B2773&lt;&gt;"",IF(AND(B2773&gt;=_TM1,B2773&lt;=_TM2,OR(TH!L2722="1111",TH!M2722="1111")),TH!D2722,""),"")</f>
        <v/>
      </c>
      <c r="B2773" s="896">
        <f t="shared" si="147"/>
        <v>1</v>
      </c>
      <c r="C2773" s="897">
        <f t="shared" si="148"/>
        <v>42391</v>
      </c>
      <c r="D2773" s="897" t="s">
        <v>1580</v>
      </c>
      <c r="E2773" s="963">
        <v>42391</v>
      </c>
      <c r="F2773" s="967" t="s">
        <v>1255</v>
      </c>
      <c r="G2773" s="49" t="s">
        <v>427</v>
      </c>
      <c r="H2773" s="965" t="s">
        <v>1328</v>
      </c>
      <c r="I2773" s="254">
        <v>10</v>
      </c>
      <c r="J2773" s="254">
        <v>14600.150162248663</v>
      </c>
      <c r="K2773" s="51">
        <f t="shared" si="149"/>
        <v>146002</v>
      </c>
      <c r="L2773" s="966" t="s">
        <v>172</v>
      </c>
      <c r="M2773" s="966" t="s">
        <v>167</v>
      </c>
      <c r="N2773" s="52" t="str">
        <f>IF(AND('331-CT'!$E$7=TH!H2773,OR(L2773="331",M2773="331")),"331",IF(AND(OR(L2773="131",M2773="131"),H2773='131-CT'!$E$7),"131",""))</f>
        <v/>
      </c>
      <c r="O2773" s="857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65"/>
      <c r="AC2773" s="899"/>
    </row>
    <row r="2774" spans="1:30" s="900" customFormat="1" ht="15.75" customHeight="1">
      <c r="A2774" s="895" t="str">
        <f>IF(B2774&lt;&gt;"",IF(AND(B2774&gt;=_TM1,B2774&lt;=_TM2,OR(TH!L2723="1111",TH!M2723="1111")),TH!D2723,""),"")</f>
        <v/>
      </c>
      <c r="B2774" s="896">
        <f t="shared" si="147"/>
        <v>1</v>
      </c>
      <c r="C2774" s="897">
        <f t="shared" si="148"/>
        <v>42391</v>
      </c>
      <c r="D2774" s="897" t="s">
        <v>1580</v>
      </c>
      <c r="E2774" s="963">
        <v>42391</v>
      </c>
      <c r="F2774" s="49" t="s">
        <v>742</v>
      </c>
      <c r="G2774" s="49" t="s">
        <v>427</v>
      </c>
      <c r="H2774" s="965" t="s">
        <v>1328</v>
      </c>
      <c r="I2774" s="254">
        <v>10</v>
      </c>
      <c r="J2774" s="254">
        <v>8176.0840908592509</v>
      </c>
      <c r="K2774" s="51">
        <f t="shared" si="149"/>
        <v>81761</v>
      </c>
      <c r="L2774" s="966" t="s">
        <v>172</v>
      </c>
      <c r="M2774" s="966" t="s">
        <v>167</v>
      </c>
      <c r="N2774" s="52" t="str">
        <f>IF(AND('331-CT'!$E$7=TH!H2774,OR(L2774="331",M2774="331")),"331",IF(AND(OR(L2774="131",M2774="131"),H2774='131-CT'!$E$7),"131",""))</f>
        <v/>
      </c>
      <c r="O2774" s="857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65"/>
      <c r="AC2774" s="899"/>
    </row>
    <row r="2775" spans="1:30" s="900" customFormat="1" ht="15.75" customHeight="1">
      <c r="A2775" s="895" t="str">
        <f>IF(B2775&lt;&gt;"",IF(AND(B2775&gt;=_TM1,B2775&lt;=_TM2,OR(TH!L2816="1111",TH!M2816="1111")),TH!D2816,""),"")</f>
        <v/>
      </c>
      <c r="B2775" s="896">
        <f t="shared" si="147"/>
        <v>1</v>
      </c>
      <c r="C2775" s="897">
        <f t="shared" si="148"/>
        <v>42391</v>
      </c>
      <c r="D2775" s="897" t="s">
        <v>1580</v>
      </c>
      <c r="E2775" s="963">
        <v>42391</v>
      </c>
      <c r="F2775" s="49" t="s">
        <v>1241</v>
      </c>
      <c r="G2775" s="49" t="s">
        <v>427</v>
      </c>
      <c r="H2775" s="965" t="s">
        <v>1328</v>
      </c>
      <c r="I2775" s="254">
        <v>10</v>
      </c>
      <c r="J2775" s="254">
        <v>9010.3783858448896</v>
      </c>
      <c r="K2775" s="51">
        <f t="shared" si="149"/>
        <v>90104</v>
      </c>
      <c r="L2775" s="966" t="s">
        <v>172</v>
      </c>
      <c r="M2775" s="966" t="s">
        <v>167</v>
      </c>
      <c r="N2775" s="52" t="str">
        <f>IF(AND('331-CT'!$E$7=TH!H2775,OR(L2775="331",M2775="331")),"331",IF(AND(OR(L2775="131",M2775="131"),H2775='131-CT'!$E$7),"131",""))</f>
        <v/>
      </c>
      <c r="O2775" s="857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65"/>
      <c r="AC2775" s="899"/>
      <c r="AD2775" s="899"/>
    </row>
    <row r="2776" spans="1:30" s="900" customFormat="1" ht="15.75" customHeight="1">
      <c r="A2776" s="895" t="str">
        <f>IF(B2776&lt;&gt;"",IF(AND(B2776&gt;=_TM1,B2776&lt;=_TM2,OR(TH!L2817="1111",TH!M2817="1111")),TH!D2817,""),"")</f>
        <v/>
      </c>
      <c r="B2776" s="896">
        <f t="shared" si="147"/>
        <v>1</v>
      </c>
      <c r="C2776" s="897">
        <f t="shared" si="148"/>
        <v>42394</v>
      </c>
      <c r="D2776" s="897" t="s">
        <v>1580</v>
      </c>
      <c r="E2776" s="963">
        <v>42394</v>
      </c>
      <c r="F2776" s="967" t="s">
        <v>1340</v>
      </c>
      <c r="G2776" s="49" t="s">
        <v>428</v>
      </c>
      <c r="H2776" s="965" t="s">
        <v>1328</v>
      </c>
      <c r="I2776" s="254">
        <v>100</v>
      </c>
      <c r="J2776" s="254">
        <v>11096.114123308984</v>
      </c>
      <c r="K2776" s="51">
        <f t="shared" si="149"/>
        <v>1109611</v>
      </c>
      <c r="L2776" s="966" t="s">
        <v>172</v>
      </c>
      <c r="M2776" s="966" t="s">
        <v>167</v>
      </c>
      <c r="N2776" s="52" t="str">
        <f>IF(AND('331-CT'!$E$7=TH!H2776,OR(L2776="331",M2776="331")),"331",IF(AND(OR(L2776="131",M2776="131"),H2776='131-CT'!$E$7),"131",""))</f>
        <v/>
      </c>
      <c r="O2776" s="857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65"/>
      <c r="AC2776" s="899"/>
    </row>
    <row r="2777" spans="1:30" s="900" customFormat="1" ht="15.75" customHeight="1">
      <c r="A2777" s="895" t="str">
        <f>IF(B2777&lt;&gt;"",IF(AND(B2777&gt;=_TM1,B2777&lt;=_TM2,OR(TH!L2719="1111",TH!M2719="1111")),TH!D2719,""),"")</f>
        <v/>
      </c>
      <c r="B2777" s="896">
        <f t="shared" si="147"/>
        <v>1</v>
      </c>
      <c r="C2777" s="897">
        <f t="shared" si="148"/>
        <v>42395</v>
      </c>
      <c r="D2777" s="897" t="s">
        <v>1580</v>
      </c>
      <c r="E2777" s="963">
        <v>42395</v>
      </c>
      <c r="F2777" s="49" t="s">
        <v>1466</v>
      </c>
      <c r="G2777" s="49" t="s">
        <v>940</v>
      </c>
      <c r="H2777" s="965" t="s">
        <v>1328</v>
      </c>
      <c r="I2777" s="254">
        <v>1500</v>
      </c>
      <c r="J2777" s="254">
        <v>9761.2432513319618</v>
      </c>
      <c r="K2777" s="51">
        <f t="shared" si="149"/>
        <v>14641865</v>
      </c>
      <c r="L2777" s="966" t="s">
        <v>172</v>
      </c>
      <c r="M2777" s="966" t="s">
        <v>167</v>
      </c>
      <c r="N2777" s="52" t="str">
        <f>IF(AND('331-CT'!$E$7=TH!H2777,OR(L2777="331",M2777="331")),"331",IF(AND(OR(L2777="131",M2777="131"),H2777='131-CT'!$E$7),"131",""))</f>
        <v/>
      </c>
      <c r="O2777" s="857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65"/>
    </row>
    <row r="2778" spans="1:30" s="900" customFormat="1" ht="15.75" customHeight="1">
      <c r="A2778" s="895" t="str">
        <f>IF(B2778&lt;&gt;"",IF(AND(B2778&gt;=_TM1,B2778&lt;=_TM2,OR(TH!L2720="1111",TH!M2720="1111")),TH!D2720,""),"")</f>
        <v/>
      </c>
      <c r="B2778" s="896">
        <f t="shared" si="147"/>
        <v>1</v>
      </c>
      <c r="C2778" s="897">
        <f t="shared" si="148"/>
        <v>42395</v>
      </c>
      <c r="D2778" s="897" t="s">
        <v>1580</v>
      </c>
      <c r="E2778" s="963">
        <v>42395</v>
      </c>
      <c r="F2778" s="967" t="s">
        <v>1337</v>
      </c>
      <c r="G2778" s="49" t="s">
        <v>940</v>
      </c>
      <c r="H2778" s="965" t="s">
        <v>1328</v>
      </c>
      <c r="I2778" s="254">
        <v>1300</v>
      </c>
      <c r="J2778" s="254">
        <v>10345.24925782191</v>
      </c>
      <c r="K2778" s="51">
        <f t="shared" si="149"/>
        <v>13448824</v>
      </c>
      <c r="L2778" s="966" t="s">
        <v>172</v>
      </c>
      <c r="M2778" s="966" t="s">
        <v>167</v>
      </c>
      <c r="N2778" s="52" t="str">
        <f>IF(AND('331-CT'!$E$7=TH!H2778,OR(L2778="331",M2778="331")),"331",IF(AND(OR(L2778="131",M2778="131"),H2778='131-CT'!$E$7),"131",""))</f>
        <v/>
      </c>
      <c r="O2778" s="857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65"/>
    </row>
    <row r="2779" spans="1:30" s="900" customFormat="1" ht="15.75" customHeight="1">
      <c r="A2779" s="895" t="str">
        <f>IF(B2779&lt;&gt;"",IF(AND(B2779&gt;=_TM1,B2779&lt;=_TM2,OR(TH!L2739="1111",TH!M2739="1111")),TH!D2739,""),"")</f>
        <v/>
      </c>
      <c r="B2779" s="896">
        <f t="shared" si="147"/>
        <v>1</v>
      </c>
      <c r="C2779" s="897">
        <f t="shared" si="148"/>
        <v>42395</v>
      </c>
      <c r="D2779" s="897" t="s">
        <v>1580</v>
      </c>
      <c r="E2779" s="48">
        <v>42395</v>
      </c>
      <c r="F2779" s="967" t="s">
        <v>683</v>
      </c>
      <c r="G2779" s="49" t="s">
        <v>431</v>
      </c>
      <c r="H2779" s="965" t="s">
        <v>1328</v>
      </c>
      <c r="I2779" s="254">
        <v>50</v>
      </c>
      <c r="J2779" s="254">
        <v>23109.951971102168</v>
      </c>
      <c r="K2779" s="51">
        <f t="shared" si="149"/>
        <v>1155498</v>
      </c>
      <c r="L2779" s="966" t="s">
        <v>172</v>
      </c>
      <c r="M2779" s="966" t="s">
        <v>167</v>
      </c>
      <c r="N2779" s="52" t="str">
        <f>IF(AND('331-CT'!$E$7=TH!H2779,OR(L2779="331",M2779="331")),"331",IF(AND(OR(L2779="131",M2779="131"),H2779='131-CT'!$E$7),"131",""))</f>
        <v/>
      </c>
      <c r="O2779" s="857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65"/>
    </row>
    <row r="2780" spans="1:30" s="900" customFormat="1" ht="15.75" customHeight="1">
      <c r="A2780" s="895" t="str">
        <f>IF(B2780&lt;&gt;"",IF(AND(B2780&gt;=_TM1,B2780&lt;=_TM2,OR(TH!L2740="1111",TH!M2740="1111")),TH!D2740,""),"")</f>
        <v/>
      </c>
      <c r="B2780" s="896">
        <f t="shared" si="147"/>
        <v>1</v>
      </c>
      <c r="C2780" s="897">
        <f t="shared" si="148"/>
        <v>42395</v>
      </c>
      <c r="D2780" s="897" t="s">
        <v>1580</v>
      </c>
      <c r="E2780" s="48">
        <v>42395</v>
      </c>
      <c r="F2780" s="870" t="s">
        <v>686</v>
      </c>
      <c r="G2780" s="49" t="s">
        <v>431</v>
      </c>
      <c r="H2780" s="965" t="s">
        <v>1328</v>
      </c>
      <c r="I2780" s="254">
        <v>98</v>
      </c>
      <c r="J2780" s="254">
        <v>18855.051066675413</v>
      </c>
      <c r="K2780" s="51">
        <f t="shared" si="149"/>
        <v>1847795</v>
      </c>
      <c r="L2780" s="966" t="s">
        <v>172</v>
      </c>
      <c r="M2780" s="966" t="s">
        <v>167</v>
      </c>
      <c r="N2780" s="52" t="str">
        <f>IF(AND('331-CT'!$E$7=TH!H2780,OR(L2780="331",M2780="331")),"331",IF(AND(OR(L2780="131",M2780="131"),H2780='131-CT'!$E$7),"131",""))</f>
        <v/>
      </c>
      <c r="O2780" s="857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65"/>
    </row>
    <row r="2781" spans="1:30" s="900" customFormat="1" ht="15.75" customHeight="1">
      <c r="A2781" s="895" t="str">
        <f>IF(B2781&lt;&gt;"",IF(AND(B2781&gt;=_TM1,B2781&lt;=_TM2,OR(TH!L2761="1111",TH!M2761="1111")),TH!D2761,""),"")</f>
        <v/>
      </c>
      <c r="B2781" s="896">
        <f t="shared" si="147"/>
        <v>1</v>
      </c>
      <c r="C2781" s="897">
        <f t="shared" si="148"/>
        <v>42395</v>
      </c>
      <c r="D2781" s="897" t="s">
        <v>1580</v>
      </c>
      <c r="E2781" s="897">
        <v>42395</v>
      </c>
      <c r="F2781" s="870" t="s">
        <v>685</v>
      </c>
      <c r="G2781" s="969" t="s">
        <v>431</v>
      </c>
      <c r="H2781" s="965" t="s">
        <v>1328</v>
      </c>
      <c r="I2781" s="254">
        <v>55</v>
      </c>
      <c r="J2781" s="254">
        <v>23193.381400600731</v>
      </c>
      <c r="K2781" s="51">
        <f t="shared" si="149"/>
        <v>1275636</v>
      </c>
      <c r="L2781" s="966" t="s">
        <v>172</v>
      </c>
      <c r="M2781" s="966" t="s">
        <v>167</v>
      </c>
      <c r="N2781" s="52" t="str">
        <f>IF(AND('331-CT'!$E$7=TH!H2781,OR(L2781="331",M2781="331")),"331",IF(AND(OR(L2781="131",M2781="131"),H2781='131-CT'!$E$7),"131",""))</f>
        <v/>
      </c>
      <c r="O2781" s="857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65"/>
      <c r="AC2781" s="899"/>
      <c r="AD2781" s="899"/>
    </row>
    <row r="2782" spans="1:30" s="900" customFormat="1" ht="15.75" customHeight="1">
      <c r="A2782" s="895" t="str">
        <f>IF(B2782&lt;&gt;"",IF(AND(B2782&gt;=_TM1,B2782&lt;=_TM2,OR(TH!L2762="1111",TH!M2762="1111")),TH!D2762,""),"")</f>
        <v/>
      </c>
      <c r="B2782" s="896">
        <f t="shared" si="147"/>
        <v>1</v>
      </c>
      <c r="C2782" s="897">
        <f t="shared" si="148"/>
        <v>42395</v>
      </c>
      <c r="D2782" s="897" t="s">
        <v>1580</v>
      </c>
      <c r="E2782" s="869">
        <v>42395</v>
      </c>
      <c r="F2782" s="967" t="s">
        <v>1264</v>
      </c>
      <c r="G2782" s="871" t="s">
        <v>432</v>
      </c>
      <c r="H2782" s="965" t="s">
        <v>1328</v>
      </c>
      <c r="I2782" s="254">
        <v>196</v>
      </c>
      <c r="J2782" s="254">
        <v>2669.7417439540413</v>
      </c>
      <c r="K2782" s="51">
        <f t="shared" si="149"/>
        <v>523269</v>
      </c>
      <c r="L2782" s="966" t="s">
        <v>172</v>
      </c>
      <c r="M2782" s="966" t="s">
        <v>167</v>
      </c>
      <c r="N2782" s="52" t="str">
        <f>IF(AND('331-CT'!$E$7=TH!H2782,OR(L2782="331",M2782="331")),"331",IF(AND(OR(L2782="131",M2782="131"),H2782='131-CT'!$E$7),"131",""))</f>
        <v/>
      </c>
      <c r="O2782" s="857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65"/>
      <c r="AC2782" s="899"/>
    </row>
    <row r="2783" spans="1:30" s="900" customFormat="1" ht="15.75" customHeight="1">
      <c r="A2783" s="895" t="str">
        <f>IF(B2783&lt;&gt;"",IF(AND(B2783&gt;=_TM1,B2783&lt;=_TM2,OR(TH!L2741="1111",TH!M2741="1111")),TH!D2741,""),"")</f>
        <v/>
      </c>
      <c r="B2783" s="896">
        <f t="shared" si="147"/>
        <v>1</v>
      </c>
      <c r="C2783" s="897">
        <f t="shared" si="148"/>
        <v>42395</v>
      </c>
      <c r="D2783" s="897" t="s">
        <v>1580</v>
      </c>
      <c r="E2783" s="869">
        <v>42395</v>
      </c>
      <c r="F2783" s="967" t="s">
        <v>1265</v>
      </c>
      <c r="G2783" s="871" t="s">
        <v>432</v>
      </c>
      <c r="H2783" s="965" t="s">
        <v>1328</v>
      </c>
      <c r="I2783" s="254">
        <v>500</v>
      </c>
      <c r="J2783" s="254">
        <v>1334.8708719770207</v>
      </c>
      <c r="K2783" s="51">
        <f t="shared" si="149"/>
        <v>667435</v>
      </c>
      <c r="L2783" s="966" t="s">
        <v>172</v>
      </c>
      <c r="M2783" s="966" t="s">
        <v>167</v>
      </c>
      <c r="N2783" s="52" t="str">
        <f>IF(AND('331-CT'!$E$7=TH!H2783,OR(L2783="331",M2783="331")),"331",IF(AND(OR(L2783="131",M2783="131"),H2783='131-CT'!$E$7),"131",""))</f>
        <v/>
      </c>
      <c r="O2783" s="857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65"/>
    </row>
    <row r="2784" spans="1:30" s="900" customFormat="1" ht="15.75" customHeight="1">
      <c r="A2784" s="895" t="str">
        <f>IF(B2784&lt;&gt;"",IF(AND(B2784&gt;=_TM1,B2784&lt;=_TM2,OR(TH!L2742="1111",TH!M2742="1111")),TH!D2742,""),"")</f>
        <v/>
      </c>
      <c r="B2784" s="896">
        <f t="shared" si="147"/>
        <v>1</v>
      </c>
      <c r="C2784" s="897">
        <f t="shared" si="148"/>
        <v>42395</v>
      </c>
      <c r="D2784" s="897" t="s">
        <v>1580</v>
      </c>
      <c r="E2784" s="869">
        <v>42395</v>
      </c>
      <c r="F2784" s="967" t="s">
        <v>1266</v>
      </c>
      <c r="G2784" s="871" t="s">
        <v>432</v>
      </c>
      <c r="H2784" s="965" t="s">
        <v>1328</v>
      </c>
      <c r="I2784" s="254">
        <v>100</v>
      </c>
      <c r="J2784" s="254">
        <v>3504.0360389396787</v>
      </c>
      <c r="K2784" s="51">
        <f t="shared" si="149"/>
        <v>350404</v>
      </c>
      <c r="L2784" s="966" t="s">
        <v>172</v>
      </c>
      <c r="M2784" s="966" t="s">
        <v>167</v>
      </c>
      <c r="N2784" s="52" t="str">
        <f>IF(AND('331-CT'!$E$7=TH!H2784,OR(L2784="331",M2784="331")),"331",IF(AND(OR(L2784="131",M2784="131"),H2784='131-CT'!$E$7),"131",""))</f>
        <v/>
      </c>
      <c r="O2784" s="857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65"/>
    </row>
    <row r="2785" spans="1:30" s="900" customFormat="1" ht="15.75" customHeight="1">
      <c r="A2785" s="895" t="str">
        <f>IF(B2785&lt;&gt;"",IF(AND(B2785&gt;=_TM1,B2785&lt;=_TM2,OR(TH!L2798="1111",TH!M2798="1111")),TH!D2798,""),"")</f>
        <v/>
      </c>
      <c r="B2785" s="896">
        <f t="shared" si="147"/>
        <v>1</v>
      </c>
      <c r="C2785" s="897">
        <f t="shared" si="148"/>
        <v>42395</v>
      </c>
      <c r="D2785" s="897" t="s">
        <v>1580</v>
      </c>
      <c r="E2785" s="869">
        <v>42395</v>
      </c>
      <c r="F2785" s="870" t="s">
        <v>1267</v>
      </c>
      <c r="G2785" s="871" t="s">
        <v>432</v>
      </c>
      <c r="H2785" s="965" t="s">
        <v>1328</v>
      </c>
      <c r="I2785" s="254">
        <v>50</v>
      </c>
      <c r="J2785" s="254">
        <v>1418.3003014755845</v>
      </c>
      <c r="K2785" s="51">
        <f t="shared" si="149"/>
        <v>70915</v>
      </c>
      <c r="L2785" s="966" t="s">
        <v>172</v>
      </c>
      <c r="M2785" s="966" t="s">
        <v>167</v>
      </c>
      <c r="N2785" s="52" t="str">
        <f>IF(AND('331-CT'!$E$7=TH!H2785,OR(L2785="331",M2785="331")),"331",IF(AND(OR(L2785="131",M2785="131"),H2785='131-CT'!$E$7),"131",""))</f>
        <v/>
      </c>
      <c r="O2785" s="857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65"/>
      <c r="AC2785" s="899"/>
      <c r="AD2785" s="899"/>
    </row>
    <row r="2786" spans="1:30" s="900" customFormat="1" ht="15.75" customHeight="1">
      <c r="A2786" s="895" t="str">
        <f>IF(B2786&lt;&gt;"",IF(AND(B2786&gt;=_TM1,B2786&lt;=_TM2,OR(TH!L2799="1111",TH!M2799="1111")),TH!D2799,""),"")</f>
        <v/>
      </c>
      <c r="B2786" s="896">
        <f t="shared" si="147"/>
        <v>1</v>
      </c>
      <c r="C2786" s="897">
        <f t="shared" si="148"/>
        <v>42395</v>
      </c>
      <c r="D2786" s="897" t="s">
        <v>1580</v>
      </c>
      <c r="E2786" s="869">
        <v>42395</v>
      </c>
      <c r="F2786" s="870" t="s">
        <v>1268</v>
      </c>
      <c r="G2786" s="871" t="s">
        <v>432</v>
      </c>
      <c r="H2786" s="965" t="s">
        <v>1328</v>
      </c>
      <c r="I2786" s="254">
        <v>400</v>
      </c>
      <c r="J2786" s="254">
        <v>750.8648654870741</v>
      </c>
      <c r="K2786" s="51">
        <f t="shared" si="149"/>
        <v>300346</v>
      </c>
      <c r="L2786" s="966" t="s">
        <v>172</v>
      </c>
      <c r="M2786" s="966" t="s">
        <v>167</v>
      </c>
      <c r="N2786" s="52" t="str">
        <f>IF(AND('331-CT'!$E$7=TH!H2786,OR(L2786="331",M2786="331")),"331",IF(AND(OR(L2786="131",M2786="131"),H2786='131-CT'!$E$7),"131",""))</f>
        <v/>
      </c>
      <c r="O2786" s="857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65"/>
      <c r="AC2786" s="899"/>
    </row>
    <row r="2787" spans="1:30" s="900" customFormat="1" ht="15.75" customHeight="1">
      <c r="A2787" s="895" t="str">
        <f>IF(B2787&lt;&gt;"",IF(AND(B2787&gt;=_TM1,B2787&lt;=_TM2,OR(TH!L2767="1111",TH!M2767="1111")),TH!D2767,""),"")</f>
        <v/>
      </c>
      <c r="B2787" s="896">
        <f t="shared" si="147"/>
        <v>1</v>
      </c>
      <c r="C2787" s="897">
        <f t="shared" si="148"/>
        <v>42395</v>
      </c>
      <c r="D2787" s="897" t="s">
        <v>1580</v>
      </c>
      <c r="E2787" s="869">
        <v>42395</v>
      </c>
      <c r="F2787" s="870" t="s">
        <v>1269</v>
      </c>
      <c r="G2787" s="871" t="s">
        <v>432</v>
      </c>
      <c r="H2787" s="965" t="s">
        <v>1328</v>
      </c>
      <c r="I2787" s="254">
        <v>110</v>
      </c>
      <c r="J2787" s="254">
        <v>3754.3243274353704</v>
      </c>
      <c r="K2787" s="51">
        <f t="shared" si="149"/>
        <v>412976</v>
      </c>
      <c r="L2787" s="966" t="s">
        <v>172</v>
      </c>
      <c r="M2787" s="966" t="s">
        <v>167</v>
      </c>
      <c r="N2787" s="52" t="str">
        <f>IF(AND('331-CT'!$E$7=TH!H2787,OR(L2787="331",M2787="331")),"331",IF(AND(OR(L2787="131",M2787="131"),H2787='131-CT'!$E$7),"131",""))</f>
        <v/>
      </c>
      <c r="O2787" s="857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65"/>
      <c r="AC2787" s="899"/>
      <c r="AD2787" s="899"/>
    </row>
    <row r="2788" spans="1:30" s="900" customFormat="1" ht="15.75" customHeight="1">
      <c r="A2788" s="895" t="str">
        <f>IF(B2788&lt;&gt;"",IF(AND(B2788&gt;=_TM1,B2788&lt;=_TM2,OR(TH!L2768="1111",TH!M2768="1111")),TH!D2768,""),"")</f>
        <v/>
      </c>
      <c r="B2788" s="896">
        <f t="shared" si="147"/>
        <v>1</v>
      </c>
      <c r="C2788" s="897">
        <f t="shared" si="148"/>
        <v>42395</v>
      </c>
      <c r="D2788" s="897" t="s">
        <v>1580</v>
      </c>
      <c r="E2788" s="869">
        <v>42395</v>
      </c>
      <c r="F2788" s="870" t="s">
        <v>1270</v>
      </c>
      <c r="G2788" s="871" t="s">
        <v>432</v>
      </c>
      <c r="H2788" s="965" t="s">
        <v>1328</v>
      </c>
      <c r="I2788" s="254">
        <v>55</v>
      </c>
      <c r="J2788" s="254">
        <v>1418.3003014755845</v>
      </c>
      <c r="K2788" s="51">
        <f t="shared" si="149"/>
        <v>78007</v>
      </c>
      <c r="L2788" s="966" t="s">
        <v>172</v>
      </c>
      <c r="M2788" s="966" t="s">
        <v>167</v>
      </c>
      <c r="N2788" s="52" t="str">
        <f>IF(AND('331-CT'!$E$7=TH!H2788,OR(L2788="331",M2788="331")),"331",IF(AND(OR(L2788="131",M2788="131"),H2788='131-CT'!$E$7),"131",""))</f>
        <v/>
      </c>
      <c r="O2788" s="857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65"/>
      <c r="AC2788" s="899"/>
      <c r="AD2788" s="899"/>
    </row>
    <row r="2789" spans="1:30" s="900" customFormat="1" ht="15.75" customHeight="1">
      <c r="A2789" s="895" t="str">
        <f>IF(B2789&lt;&gt;"",IF(AND(B2789&gt;=_TM1,B2789&lt;=_TM2,OR(TH!L2769="1111",TH!M2769="1111")),TH!D2769,""),"")</f>
        <v/>
      </c>
      <c r="B2789" s="896">
        <f t="shared" si="147"/>
        <v>1</v>
      </c>
      <c r="C2789" s="897">
        <f t="shared" si="148"/>
        <v>42395</v>
      </c>
      <c r="D2789" s="897" t="s">
        <v>1580</v>
      </c>
      <c r="E2789" s="869">
        <v>42395</v>
      </c>
      <c r="F2789" s="870" t="s">
        <v>1271</v>
      </c>
      <c r="G2789" s="871" t="s">
        <v>432</v>
      </c>
      <c r="H2789" s="965" t="s">
        <v>1328</v>
      </c>
      <c r="I2789" s="254">
        <v>440</v>
      </c>
      <c r="J2789" s="254">
        <v>917.72372448420163</v>
      </c>
      <c r="K2789" s="51">
        <f t="shared" si="149"/>
        <v>403798</v>
      </c>
      <c r="L2789" s="966" t="s">
        <v>172</v>
      </c>
      <c r="M2789" s="966" t="s">
        <v>167</v>
      </c>
      <c r="N2789" s="52" t="str">
        <f>IF(AND('331-CT'!$E$7=TH!H2789,OR(L2789="331",M2789="331")),"331",IF(AND(OR(L2789="131",M2789="131"),H2789='131-CT'!$E$7),"131",""))</f>
        <v/>
      </c>
      <c r="O2789" s="857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65"/>
      <c r="AC2789" s="899"/>
    </row>
    <row r="2790" spans="1:30" s="900" customFormat="1" ht="15.75" customHeight="1">
      <c r="A2790" s="895" t="str">
        <f>IF(B2790&lt;&gt;"",IF(AND(B2790&gt;=_TM1,B2790&lt;=_TM2,OR(TH!L2759="1111",TH!M2759="1111")),TH!D2759,""),"")</f>
        <v/>
      </c>
      <c r="B2790" s="896">
        <f t="shared" si="147"/>
        <v>1</v>
      </c>
      <c r="C2790" s="897">
        <f t="shared" si="148"/>
        <v>42395</v>
      </c>
      <c r="D2790" s="897" t="s">
        <v>1580</v>
      </c>
      <c r="E2790" s="869">
        <v>42395</v>
      </c>
      <c r="F2790" s="870" t="s">
        <v>738</v>
      </c>
      <c r="G2790" s="871" t="s">
        <v>433</v>
      </c>
      <c r="H2790" s="965" t="s">
        <v>1328</v>
      </c>
      <c r="I2790" s="254">
        <v>50</v>
      </c>
      <c r="J2790" s="254">
        <v>12180.696706790313</v>
      </c>
      <c r="K2790" s="51">
        <f t="shared" si="149"/>
        <v>609035</v>
      </c>
      <c r="L2790" s="966" t="s">
        <v>172</v>
      </c>
      <c r="M2790" s="966" t="s">
        <v>167</v>
      </c>
      <c r="N2790" s="52" t="str">
        <f>IF(AND('331-CT'!$E$7=TH!H2790,OR(L2790="331",M2790="331")),"331",IF(AND(OR(L2790="131",M2790="131"),H2790='131-CT'!$E$7),"131",""))</f>
        <v/>
      </c>
      <c r="O2790" s="857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65"/>
      <c r="AC2790" s="899"/>
      <c r="AD2790" s="899"/>
    </row>
    <row r="2791" spans="1:30" s="900" customFormat="1" ht="15.75" customHeight="1">
      <c r="A2791" s="895" t="str">
        <f>IF(B2791&lt;&gt;"",IF(AND(B2791&gt;=_TM1,B2791&lt;=_TM2,OR(TH!L2760="1111",TH!M2760="1111")),TH!D2760,""),"")</f>
        <v/>
      </c>
      <c r="B2791" s="896">
        <f t="shared" si="147"/>
        <v>1</v>
      </c>
      <c r="C2791" s="897">
        <f t="shared" si="148"/>
        <v>42395</v>
      </c>
      <c r="D2791" s="897" t="s">
        <v>1580</v>
      </c>
      <c r="E2791" s="869">
        <v>42395</v>
      </c>
      <c r="F2791" s="870" t="s">
        <v>1256</v>
      </c>
      <c r="G2791" s="871" t="s">
        <v>433</v>
      </c>
      <c r="H2791" s="965" t="s">
        <v>1328</v>
      </c>
      <c r="I2791" s="254">
        <v>100</v>
      </c>
      <c r="J2791" s="254">
        <v>6507.4955008879751</v>
      </c>
      <c r="K2791" s="51">
        <f t="shared" si="149"/>
        <v>650750</v>
      </c>
      <c r="L2791" s="966" t="s">
        <v>172</v>
      </c>
      <c r="M2791" s="966" t="s">
        <v>167</v>
      </c>
      <c r="N2791" s="52" t="str">
        <f>IF(AND('331-CT'!$E$7=TH!H2791,OR(L2791="331",M2791="331")),"331",IF(AND(OR(L2791="131",M2791="131"),H2791='131-CT'!$E$7),"131",""))</f>
        <v/>
      </c>
      <c r="O2791" s="857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65"/>
      <c r="AC2791" s="899"/>
    </row>
    <row r="2792" spans="1:30" s="900" customFormat="1" ht="15.75" customHeight="1">
      <c r="A2792" s="895" t="str">
        <f>IF(B2792&lt;&gt;"",IF(AND(B2792&gt;=_TM1,B2792&lt;=_TM2,OR(TH!L2757="1111",TH!M2757="1111")),TH!D2757,""),"")</f>
        <v/>
      </c>
      <c r="B2792" s="896">
        <f t="shared" si="147"/>
        <v>1</v>
      </c>
      <c r="C2792" s="897">
        <f t="shared" si="148"/>
        <v>42395</v>
      </c>
      <c r="D2792" s="897" t="s">
        <v>1580</v>
      </c>
      <c r="E2792" s="869">
        <v>42395</v>
      </c>
      <c r="F2792" s="870" t="s">
        <v>1257</v>
      </c>
      <c r="G2792" s="871" t="s">
        <v>433</v>
      </c>
      <c r="H2792" s="965" t="s">
        <v>1328</v>
      </c>
      <c r="I2792" s="254">
        <v>1000</v>
      </c>
      <c r="J2792" s="254">
        <v>1334.8708719770207</v>
      </c>
      <c r="K2792" s="51">
        <f t="shared" si="149"/>
        <v>1334871</v>
      </c>
      <c r="L2792" s="966" t="s">
        <v>172</v>
      </c>
      <c r="M2792" s="966" t="s">
        <v>167</v>
      </c>
      <c r="N2792" s="52" t="str">
        <f>IF(AND('331-CT'!$E$7=TH!H2792,OR(L2792="331",M2792="331")),"331",IF(AND(OR(L2792="131",M2792="131"),H2792='131-CT'!$E$7),"131",""))</f>
        <v/>
      </c>
      <c r="O2792" s="857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65"/>
      <c r="AC2792" s="899"/>
      <c r="AD2792" s="899"/>
    </row>
    <row r="2793" spans="1:30" s="900" customFormat="1" ht="15.75" customHeight="1">
      <c r="A2793" s="895" t="str">
        <f>IF(B2793&lt;&gt;"",IF(AND(B2793&gt;=_TM1,B2793&lt;=_TM2,OR(TH!L2758="1111",TH!M2758="1111")),TH!D2758,""),"")</f>
        <v/>
      </c>
      <c r="B2793" s="896">
        <f t="shared" si="147"/>
        <v>1</v>
      </c>
      <c r="C2793" s="897">
        <f t="shared" si="148"/>
        <v>42395</v>
      </c>
      <c r="D2793" s="897" t="s">
        <v>1580</v>
      </c>
      <c r="E2793" s="869">
        <v>42395</v>
      </c>
      <c r="F2793" s="870" t="s">
        <v>730</v>
      </c>
      <c r="G2793" s="871" t="s">
        <v>433</v>
      </c>
      <c r="H2793" s="965" t="s">
        <v>1328</v>
      </c>
      <c r="I2793" s="254">
        <v>190</v>
      </c>
      <c r="J2793" s="254">
        <v>7174.9309368764852</v>
      </c>
      <c r="K2793" s="51">
        <f t="shared" si="149"/>
        <v>1363237</v>
      </c>
      <c r="L2793" s="966" t="s">
        <v>172</v>
      </c>
      <c r="M2793" s="966" t="s">
        <v>167</v>
      </c>
      <c r="N2793" s="52" t="str">
        <f>IF(AND('331-CT'!$E$7=TH!H2793,OR(L2793="331",M2793="331")),"331",IF(AND(OR(L2793="131",M2793="131"),H2793='131-CT'!$E$7),"131",""))</f>
        <v/>
      </c>
      <c r="O2793" s="857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65"/>
      <c r="AC2793" s="899"/>
    </row>
    <row r="2794" spans="1:30" s="900" customFormat="1" ht="15.75" customHeight="1">
      <c r="A2794" s="895" t="str">
        <f>IF(B2794&lt;&gt;"",IF(AND(B2794&gt;=_TM1,B2794&lt;=_TM2,OR(TH!L2755="1111",TH!M2755="1111")),TH!D2755,""),"")</f>
        <v/>
      </c>
      <c r="B2794" s="896">
        <f t="shared" si="147"/>
        <v>1</v>
      </c>
      <c r="C2794" s="897">
        <f t="shared" si="148"/>
        <v>42395</v>
      </c>
      <c r="D2794" s="897" t="s">
        <v>1580</v>
      </c>
      <c r="E2794" s="48">
        <v>42395</v>
      </c>
      <c r="F2794" s="49" t="s">
        <v>731</v>
      </c>
      <c r="G2794" s="49" t="s">
        <v>433</v>
      </c>
      <c r="H2794" s="965" t="s">
        <v>1328</v>
      </c>
      <c r="I2794" s="254">
        <v>195</v>
      </c>
      <c r="J2794" s="254">
        <v>6590.924930386539</v>
      </c>
      <c r="K2794" s="51">
        <f t="shared" si="149"/>
        <v>1285230</v>
      </c>
      <c r="L2794" s="966" t="s">
        <v>172</v>
      </c>
      <c r="M2794" s="966" t="s">
        <v>167</v>
      </c>
      <c r="N2794" s="52" t="str">
        <f>IF(AND('331-CT'!$E$7=TH!H2794,OR(L2794="331",M2794="331")),"331",IF(AND(OR(L2794="131",M2794="131"),H2794='131-CT'!$E$7),"131",""))</f>
        <v/>
      </c>
      <c r="O2794" s="857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65"/>
      <c r="AC2794" s="899"/>
      <c r="AD2794" s="899"/>
    </row>
    <row r="2795" spans="1:30" s="900" customFormat="1" ht="15.75" customHeight="1">
      <c r="A2795" s="895" t="str">
        <f>IF(B2795&lt;&gt;"",IF(AND(B2795&gt;=_TM1,B2795&lt;=_TM2,OR(TH!L2756="1111",TH!M2756="1111")),TH!D2756,""),"")</f>
        <v/>
      </c>
      <c r="B2795" s="896">
        <f t="shared" si="147"/>
        <v>1</v>
      </c>
      <c r="C2795" s="897">
        <f t="shared" si="148"/>
        <v>42395</v>
      </c>
      <c r="D2795" s="897" t="s">
        <v>1580</v>
      </c>
      <c r="E2795" s="48">
        <v>42395</v>
      </c>
      <c r="F2795" s="49" t="s">
        <v>732</v>
      </c>
      <c r="G2795" s="49" t="s">
        <v>433</v>
      </c>
      <c r="H2795" s="965" t="s">
        <v>1328</v>
      </c>
      <c r="I2795" s="254">
        <v>125</v>
      </c>
      <c r="J2795" s="254">
        <v>9677.8138218333988</v>
      </c>
      <c r="K2795" s="51">
        <f t="shared" si="149"/>
        <v>1209727</v>
      </c>
      <c r="L2795" s="966" t="s">
        <v>172</v>
      </c>
      <c r="M2795" s="966" t="s">
        <v>167</v>
      </c>
      <c r="N2795" s="52" t="str">
        <f>IF(AND('331-CT'!$E$7=TH!H2795,OR(L2795="331",M2795="331")),"331",IF(AND(OR(L2795="131",M2795="131"),H2795='131-CT'!$E$7),"131",""))</f>
        <v/>
      </c>
      <c r="O2795" s="857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65"/>
      <c r="AC2795" s="899"/>
    </row>
    <row r="2796" spans="1:30" s="900" customFormat="1" ht="15.75" customHeight="1">
      <c r="A2796" s="895" t="str">
        <f>IF(B2796&lt;&gt;"",IF(AND(B2796&gt;=_TM1,B2796&lt;=_TM2,OR(TH!L2743="1111",TH!M2743="1111")),TH!D2743,""),"")</f>
        <v/>
      </c>
      <c r="B2796" s="896">
        <f t="shared" si="147"/>
        <v>1</v>
      </c>
      <c r="C2796" s="897">
        <f t="shared" si="148"/>
        <v>42395</v>
      </c>
      <c r="D2796" s="897" t="s">
        <v>1580</v>
      </c>
      <c r="E2796" s="48">
        <v>42395</v>
      </c>
      <c r="F2796" s="49" t="s">
        <v>733</v>
      </c>
      <c r="G2796" s="49" t="s">
        <v>433</v>
      </c>
      <c r="H2796" s="965" t="s">
        <v>1328</v>
      </c>
      <c r="I2796" s="254">
        <v>125</v>
      </c>
      <c r="J2796" s="254">
        <v>8926.9489563463248</v>
      </c>
      <c r="K2796" s="51">
        <f t="shared" si="149"/>
        <v>1115869</v>
      </c>
      <c r="L2796" s="966" t="s">
        <v>172</v>
      </c>
      <c r="M2796" s="966" t="s">
        <v>167</v>
      </c>
      <c r="N2796" s="52" t="str">
        <f>IF(AND('331-CT'!$E$7=TH!H2796,OR(L2796="331",M2796="331")),"331",IF(AND(OR(L2796="131",M2796="131"),H2796='131-CT'!$E$7),"131",""))</f>
        <v/>
      </c>
      <c r="O2796" s="857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65"/>
      <c r="AC2796" s="899"/>
      <c r="AD2796" s="899"/>
    </row>
    <row r="2797" spans="1:30" s="900" customFormat="1" ht="15.75" customHeight="1">
      <c r="A2797" s="895" t="str">
        <f>IF(B2797&lt;&gt;"",IF(AND(B2797&gt;=_TM1,B2797&lt;=_TM2,OR(TH!L2744="1111",TH!M2744="1111")),TH!D2744,""),"")</f>
        <v/>
      </c>
      <c r="B2797" s="896">
        <f t="shared" si="147"/>
        <v>1</v>
      </c>
      <c r="C2797" s="897">
        <f t="shared" si="148"/>
        <v>42395</v>
      </c>
      <c r="D2797" s="897" t="s">
        <v>1580</v>
      </c>
      <c r="E2797" s="48">
        <v>42395</v>
      </c>
      <c r="F2797" s="49" t="s">
        <v>1258</v>
      </c>
      <c r="G2797" s="49" t="s">
        <v>433</v>
      </c>
      <c r="H2797" s="965" t="s">
        <v>1328</v>
      </c>
      <c r="I2797" s="254">
        <v>390</v>
      </c>
      <c r="J2797" s="254">
        <v>14850.438450744354</v>
      </c>
      <c r="K2797" s="51">
        <f t="shared" si="149"/>
        <v>5791671</v>
      </c>
      <c r="L2797" s="966" t="s">
        <v>172</v>
      </c>
      <c r="M2797" s="966" t="s">
        <v>167</v>
      </c>
      <c r="N2797" s="52" t="str">
        <f>IF(AND('331-CT'!$E$7=TH!H2797,OR(L2797="331",M2797="331")),"331",IF(AND(OR(L2797="131",M2797="131"),H2797='131-CT'!$E$7),"131",""))</f>
        <v/>
      </c>
      <c r="O2797" s="857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65"/>
      <c r="AC2797" s="899"/>
    </row>
    <row r="2798" spans="1:30" s="900" customFormat="1" ht="15.75" customHeight="1">
      <c r="A2798" s="895" t="str">
        <f>IF(B2798&lt;&gt;"",IF(AND(B2798&gt;=_TM1,B2798&lt;=_TM2,OR(TH!L2745="1111",TH!M2745="1111")),TH!D2745,""),"")</f>
        <v/>
      </c>
      <c r="B2798" s="896">
        <f t="shared" si="147"/>
        <v>1</v>
      </c>
      <c r="C2798" s="897">
        <f t="shared" si="148"/>
        <v>42395</v>
      </c>
      <c r="D2798" s="897" t="s">
        <v>1580</v>
      </c>
      <c r="E2798" s="48">
        <v>42395</v>
      </c>
      <c r="F2798" s="49" t="s">
        <v>1259</v>
      </c>
      <c r="G2798" s="49" t="s">
        <v>433</v>
      </c>
      <c r="H2798" s="965" t="s">
        <v>1328</v>
      </c>
      <c r="I2798" s="254">
        <v>420</v>
      </c>
      <c r="J2798" s="254">
        <v>8760.0900973491971</v>
      </c>
      <c r="K2798" s="51">
        <f t="shared" si="149"/>
        <v>3679238</v>
      </c>
      <c r="L2798" s="966" t="s">
        <v>172</v>
      </c>
      <c r="M2798" s="966" t="s">
        <v>167</v>
      </c>
      <c r="N2798" s="52" t="str">
        <f>IF(AND('331-CT'!$E$7=TH!H2798,OR(L2798="331",M2798="331")),"331",IF(AND(OR(L2798="131",M2798="131"),H2798='131-CT'!$E$7),"131",""))</f>
        <v/>
      </c>
      <c r="O2798" s="857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65"/>
      <c r="AC2798" s="899"/>
    </row>
    <row r="2799" spans="1:30" s="900" customFormat="1" ht="15.75" customHeight="1">
      <c r="A2799" s="895" t="str">
        <f>IF(B2799&lt;&gt;"",IF(AND(B2799&gt;=_TM1,B2799&lt;=_TM2,OR(TH!L2751="1111",TH!M2751="1111")),TH!D2751,""),"")</f>
        <v/>
      </c>
      <c r="B2799" s="896">
        <f t="shared" si="147"/>
        <v>1</v>
      </c>
      <c r="C2799" s="897">
        <f t="shared" si="148"/>
        <v>42397</v>
      </c>
      <c r="D2799" s="897" t="s">
        <v>1580</v>
      </c>
      <c r="E2799" s="48">
        <v>42397</v>
      </c>
      <c r="F2799" s="49" t="s">
        <v>740</v>
      </c>
      <c r="G2799" s="49" t="s">
        <v>435</v>
      </c>
      <c r="H2799" s="965" t="s">
        <v>1328</v>
      </c>
      <c r="I2799" s="254">
        <v>500</v>
      </c>
      <c r="J2799" s="254">
        <v>15601.30331623143</v>
      </c>
      <c r="K2799" s="51">
        <f t="shared" si="149"/>
        <v>7800652</v>
      </c>
      <c r="L2799" s="966" t="s">
        <v>172</v>
      </c>
      <c r="M2799" s="966" t="s">
        <v>167</v>
      </c>
      <c r="N2799" s="52" t="str">
        <f>IF(AND('331-CT'!$E$7=TH!H2799,OR(L2799="331",M2799="331")),"331",IF(AND(OR(L2799="131",M2799="131"),H2799='131-CT'!$E$7),"131",""))</f>
        <v/>
      </c>
      <c r="O2799" s="857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65"/>
      <c r="AC2799" s="899"/>
      <c r="AD2799" s="899"/>
    </row>
    <row r="2800" spans="1:30" s="900" customFormat="1" ht="15.75" customHeight="1">
      <c r="A2800" s="895" t="str">
        <f>IF(B2800&lt;&gt;"",IF(AND(B2800&gt;=_TM1,B2800&lt;=_TM2,OR(TH!L2752="1111",TH!M2752="1111")),TH!D2752,""),"")</f>
        <v/>
      </c>
      <c r="B2800" s="896">
        <f t="shared" si="147"/>
        <v>1</v>
      </c>
      <c r="C2800" s="897">
        <f t="shared" si="148"/>
        <v>42397</v>
      </c>
      <c r="D2800" s="897" t="s">
        <v>1580</v>
      </c>
      <c r="E2800" s="48">
        <v>42397</v>
      </c>
      <c r="F2800" s="49" t="s">
        <v>563</v>
      </c>
      <c r="G2800" s="49" t="s">
        <v>435</v>
      </c>
      <c r="H2800" s="965" t="s">
        <v>1328</v>
      </c>
      <c r="I2800" s="254">
        <v>2000</v>
      </c>
      <c r="J2800" s="254">
        <v>4421.7597634238809</v>
      </c>
      <c r="K2800" s="51">
        <f t="shared" si="149"/>
        <v>8843520</v>
      </c>
      <c r="L2800" s="966" t="s">
        <v>172</v>
      </c>
      <c r="M2800" s="966" t="s">
        <v>167</v>
      </c>
      <c r="N2800" s="52" t="str">
        <f>IF(AND('331-CT'!$E$7=TH!H2800,OR(L2800="331",M2800="331")),"331",IF(AND(OR(L2800="131",M2800="131"),H2800='131-CT'!$E$7),"131",""))</f>
        <v/>
      </c>
      <c r="O2800" s="857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65"/>
      <c r="AC2800" s="899"/>
    </row>
    <row r="2801" spans="1:30" s="900" customFormat="1" ht="15.75" customHeight="1">
      <c r="A2801" s="895" t="str">
        <f>IF(B2801&lt;&gt;"",IF(AND(B2801&gt;=_TM1,B2801&lt;=_TM2,OR(TH!L2763="1111",TH!M2763="1111")),TH!D2763,""),"")</f>
        <v/>
      </c>
      <c r="B2801" s="896">
        <f t="shared" si="147"/>
        <v>1</v>
      </c>
      <c r="C2801" s="897">
        <f t="shared" si="148"/>
        <v>42397</v>
      </c>
      <c r="D2801" s="897" t="s">
        <v>1580</v>
      </c>
      <c r="E2801" s="48">
        <v>42397</v>
      </c>
      <c r="F2801" s="49" t="s">
        <v>561</v>
      </c>
      <c r="G2801" s="49" t="s">
        <v>435</v>
      </c>
      <c r="H2801" s="965" t="s">
        <v>1328</v>
      </c>
      <c r="I2801" s="254">
        <v>300</v>
      </c>
      <c r="J2801" s="254">
        <v>8843.5195268477619</v>
      </c>
      <c r="K2801" s="51">
        <f t="shared" si="149"/>
        <v>2653056</v>
      </c>
      <c r="L2801" s="966" t="s">
        <v>172</v>
      </c>
      <c r="M2801" s="966" t="s">
        <v>167</v>
      </c>
      <c r="N2801" s="52" t="str">
        <f>IF(AND('331-CT'!$E$7=TH!H2801,OR(L2801="331",M2801="331")),"331",IF(AND(OR(L2801="131",M2801="131"),H2801='131-CT'!$E$7),"131",""))</f>
        <v/>
      </c>
      <c r="O2801" s="857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65"/>
      <c r="AC2801" s="899"/>
      <c r="AD2801" s="899"/>
    </row>
    <row r="2802" spans="1:30" s="900" customFormat="1" ht="15.75" customHeight="1">
      <c r="A2802" s="895" t="str">
        <f>IF(B2802&lt;&gt;"",IF(AND(B2802&gt;=_TM1,B2802&lt;=_TM2,OR(TH!L2764="1111",TH!M2764="1111")),TH!D2764,""),"")</f>
        <v/>
      </c>
      <c r="B2802" s="896">
        <f t="shared" si="147"/>
        <v>1</v>
      </c>
      <c r="C2802" s="897">
        <f t="shared" si="148"/>
        <v>42397</v>
      </c>
      <c r="D2802" s="897" t="s">
        <v>1580</v>
      </c>
      <c r="E2802" s="48">
        <v>42397</v>
      </c>
      <c r="F2802" s="49" t="s">
        <v>478</v>
      </c>
      <c r="G2802" s="49" t="s">
        <v>436</v>
      </c>
      <c r="H2802" s="965" t="s">
        <v>1328</v>
      </c>
      <c r="I2802" s="254">
        <v>1004</v>
      </c>
      <c r="J2802" s="254">
        <v>8676.6606678506341</v>
      </c>
      <c r="K2802" s="51">
        <f t="shared" si="149"/>
        <v>8711367</v>
      </c>
      <c r="L2802" s="966" t="s">
        <v>172</v>
      </c>
      <c r="M2802" s="966" t="s">
        <v>167</v>
      </c>
      <c r="N2802" s="52" t="str">
        <f>IF(AND('331-CT'!$E$7=TH!H2802,OR(L2802="331",M2802="331")),"331",IF(AND(OR(L2802="131",M2802="131"),H2802='131-CT'!$E$7),"131",""))</f>
        <v/>
      </c>
      <c r="O2802" s="857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65"/>
      <c r="AC2802" s="899"/>
    </row>
    <row r="2803" spans="1:30" s="900" customFormat="1" ht="15.75" customHeight="1">
      <c r="A2803" s="895" t="str">
        <f>IF(B2803&lt;&gt;"",IF(AND(B2803&gt;=_TM1,B2803&lt;=_TM2,OR(TH!L2786="1111",TH!M2786="1111")),TH!D2786,""),"")</f>
        <v/>
      </c>
      <c r="B2803" s="896">
        <f t="shared" si="147"/>
        <v>1</v>
      </c>
      <c r="C2803" s="897">
        <f t="shared" si="148"/>
        <v>42397</v>
      </c>
      <c r="D2803" s="897" t="s">
        <v>1580</v>
      </c>
      <c r="E2803" s="48">
        <v>42397</v>
      </c>
      <c r="F2803" s="49" t="s">
        <v>1272</v>
      </c>
      <c r="G2803" s="49" t="s">
        <v>436</v>
      </c>
      <c r="H2803" s="965" t="s">
        <v>1328</v>
      </c>
      <c r="I2803" s="254">
        <v>1004</v>
      </c>
      <c r="J2803" s="254">
        <v>1084.5825834813293</v>
      </c>
      <c r="K2803" s="51">
        <f t="shared" si="149"/>
        <v>1088921</v>
      </c>
      <c r="L2803" s="966" t="s">
        <v>172</v>
      </c>
      <c r="M2803" s="966" t="s">
        <v>167</v>
      </c>
      <c r="N2803" s="52" t="str">
        <f>IF(AND('331-CT'!$E$7=TH!H2803,OR(L2803="331",M2803="331")),"331",IF(AND(OR(L2803="131",M2803="131"),H2803='131-CT'!$E$7),"131",""))</f>
        <v/>
      </c>
      <c r="O2803" s="857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65"/>
      <c r="AC2803" s="899"/>
      <c r="AD2803" s="899"/>
    </row>
    <row r="2804" spans="1:30" s="900" customFormat="1" ht="15.75" customHeight="1">
      <c r="A2804" s="895" t="str">
        <f>IF(B2804&lt;&gt;"",IF(AND(B2804&gt;=_TM1,B2804&lt;=_TM2,OR(TH!L2787="1111",TH!M2787="1111")),TH!D2787,""),"")</f>
        <v/>
      </c>
      <c r="B2804" s="896">
        <f t="shared" si="147"/>
        <v>1</v>
      </c>
      <c r="C2804" s="897">
        <f t="shared" si="148"/>
        <v>42397</v>
      </c>
      <c r="D2804" s="897" t="s">
        <v>1580</v>
      </c>
      <c r="E2804" s="48">
        <v>42397</v>
      </c>
      <c r="F2804" s="49" t="s">
        <v>941</v>
      </c>
      <c r="G2804" s="49" t="s">
        <v>436</v>
      </c>
      <c r="H2804" s="965" t="s">
        <v>1328</v>
      </c>
      <c r="I2804" s="254">
        <v>502</v>
      </c>
      <c r="J2804" s="254">
        <v>6507.4955008879751</v>
      </c>
      <c r="K2804" s="51">
        <f t="shared" si="149"/>
        <v>3266763</v>
      </c>
      <c r="L2804" s="966" t="s">
        <v>172</v>
      </c>
      <c r="M2804" s="966" t="s">
        <v>167</v>
      </c>
      <c r="N2804" s="52" t="str">
        <f>IF(AND('331-CT'!$E$7=TH!H2804,OR(L2804="331",M2804="331")),"331",IF(AND(OR(L2804="131",M2804="131"),H2804='131-CT'!$E$7),"131",""))</f>
        <v/>
      </c>
      <c r="O2804" s="857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65"/>
      <c r="AC2804" s="899"/>
      <c r="AD2804" s="899"/>
    </row>
    <row r="2805" spans="1:30" s="900" customFormat="1" ht="15.75" customHeight="1">
      <c r="A2805" s="895" t="str">
        <f>IF(B2805&lt;&gt;"",IF(AND(B2805&gt;=_TM1,B2805&lt;=_TM2,OR(TH!L2788="1111",TH!M2788="1111")),TH!D2788,""),"")</f>
        <v/>
      </c>
      <c r="B2805" s="896">
        <f t="shared" si="147"/>
        <v>1</v>
      </c>
      <c r="C2805" s="897">
        <f t="shared" si="148"/>
        <v>42397</v>
      </c>
      <c r="D2805" s="897" t="s">
        <v>1580</v>
      </c>
      <c r="E2805" s="48">
        <v>42397</v>
      </c>
      <c r="F2805" s="49" t="s">
        <v>1268</v>
      </c>
      <c r="G2805" s="49" t="s">
        <v>436</v>
      </c>
      <c r="H2805" s="965" t="s">
        <v>1328</v>
      </c>
      <c r="I2805" s="254">
        <v>502</v>
      </c>
      <c r="J2805" s="254">
        <v>750.8648654870741</v>
      </c>
      <c r="K2805" s="51">
        <f t="shared" si="149"/>
        <v>376934</v>
      </c>
      <c r="L2805" s="966" t="s">
        <v>172</v>
      </c>
      <c r="M2805" s="966" t="s">
        <v>167</v>
      </c>
      <c r="N2805" s="52" t="str">
        <f>IF(AND('331-CT'!$E$7=TH!H2805,OR(L2805="331",M2805="331")),"331",IF(AND(OR(L2805="131",M2805="131"),H2805='131-CT'!$E$7),"131",""))</f>
        <v/>
      </c>
      <c r="O2805" s="857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65"/>
      <c r="AC2805" s="899"/>
    </row>
    <row r="2806" spans="1:30" s="900" customFormat="1" ht="15.75" customHeight="1">
      <c r="A2806" s="895" t="str">
        <f>IF(B2806&lt;&gt;"",IF(AND(B2806&gt;=_TM1,B2806&lt;=_TM2,OR(TH!L2793="1111",TH!M2793="1111")),TH!D2793,""),"")</f>
        <v/>
      </c>
      <c r="B2806" s="896">
        <f t="shared" si="147"/>
        <v>1</v>
      </c>
      <c r="C2806" s="897">
        <f t="shared" si="148"/>
        <v>42397</v>
      </c>
      <c r="D2806" s="897" t="s">
        <v>1580</v>
      </c>
      <c r="E2806" s="48">
        <v>42397</v>
      </c>
      <c r="F2806" s="49" t="s">
        <v>668</v>
      </c>
      <c r="G2806" s="49" t="s">
        <v>439</v>
      </c>
      <c r="H2806" s="965" t="s">
        <v>1328</v>
      </c>
      <c r="I2806" s="254">
        <v>210</v>
      </c>
      <c r="J2806" s="254">
        <v>6674.3543598851029</v>
      </c>
      <c r="K2806" s="51">
        <f t="shared" si="149"/>
        <v>1401614</v>
      </c>
      <c r="L2806" s="966" t="s">
        <v>172</v>
      </c>
      <c r="M2806" s="966" t="s">
        <v>167</v>
      </c>
      <c r="N2806" s="52" t="str">
        <f>IF(AND('331-CT'!$E$7=TH!H2806,OR(L2806="331",M2806="331")),"331",IF(AND(OR(L2806="131",M2806="131"),H2806='131-CT'!$E$7),"131",""))</f>
        <v/>
      </c>
      <c r="O2806" s="857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65"/>
      <c r="AC2806" s="899"/>
      <c r="AD2806" s="899"/>
    </row>
    <row r="2807" spans="1:30" s="900" customFormat="1" ht="15.75" customHeight="1">
      <c r="A2807" s="895" t="str">
        <f>IF(B2807&lt;&gt;"",IF(AND(B2807&gt;=_TM1,B2807&lt;=_TM2,OR(TH!L2794="1111",TH!M2794="1111")),TH!D2794,""),"")</f>
        <v/>
      </c>
      <c r="B2807" s="896">
        <f t="shared" si="147"/>
        <v>1</v>
      </c>
      <c r="C2807" s="897">
        <f t="shared" si="148"/>
        <v>42397</v>
      </c>
      <c r="D2807" s="897" t="s">
        <v>1580</v>
      </c>
      <c r="E2807" s="48">
        <v>42397</v>
      </c>
      <c r="F2807" s="49" t="s">
        <v>669</v>
      </c>
      <c r="G2807" s="49" t="s">
        <v>439</v>
      </c>
      <c r="H2807" s="965" t="s">
        <v>1328</v>
      </c>
      <c r="I2807" s="254">
        <v>309</v>
      </c>
      <c r="J2807" s="254">
        <v>7758.9369433664324</v>
      </c>
      <c r="K2807" s="51">
        <f t="shared" si="149"/>
        <v>2397512</v>
      </c>
      <c r="L2807" s="966" t="s">
        <v>172</v>
      </c>
      <c r="M2807" s="966" t="s">
        <v>167</v>
      </c>
      <c r="N2807" s="52" t="str">
        <f>IF(AND('331-CT'!$E$7=TH!H2807,OR(L2807="331",M2807="331")),"331",IF(AND(OR(L2807="131",M2807="131"),H2807='131-CT'!$E$7),"131",""))</f>
        <v/>
      </c>
      <c r="O2807" s="857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65"/>
      <c r="AC2807" s="899"/>
      <c r="AD2807" s="899"/>
    </row>
    <row r="2808" spans="1:30" s="900" customFormat="1" ht="15.75" customHeight="1">
      <c r="A2808" s="895" t="str">
        <f>IF(B2808&lt;&gt;"",IF(AND(B2808&gt;=_TM1,B2808&lt;=_TM2,OR(TH!L2795="1111",TH!M2795="1111")),TH!D2795,""),"")</f>
        <v/>
      </c>
      <c r="B2808" s="896">
        <f t="shared" si="147"/>
        <v>1</v>
      </c>
      <c r="C2808" s="897">
        <f t="shared" si="148"/>
        <v>42397</v>
      </c>
      <c r="D2808" s="897" t="s">
        <v>1580</v>
      </c>
      <c r="E2808" s="48">
        <v>42397</v>
      </c>
      <c r="F2808" s="967" t="s">
        <v>942</v>
      </c>
      <c r="G2808" s="49" t="s">
        <v>442</v>
      </c>
      <c r="H2808" s="965" t="s">
        <v>1328</v>
      </c>
      <c r="I2808" s="254">
        <v>206</v>
      </c>
      <c r="J2808" s="254">
        <v>19188.768784669668</v>
      </c>
      <c r="K2808" s="51">
        <f t="shared" si="149"/>
        <v>3952886</v>
      </c>
      <c r="L2808" s="966" t="s">
        <v>172</v>
      </c>
      <c r="M2808" s="966" t="s">
        <v>167</v>
      </c>
      <c r="N2808" s="52" t="str">
        <f>IF(AND('331-CT'!$E$7=TH!H2808,OR(L2808="331",M2808="331")),"331",IF(AND(OR(L2808="131",M2808="131"),H2808='131-CT'!$E$7),"131",""))</f>
        <v/>
      </c>
      <c r="O2808" s="857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65"/>
      <c r="AC2808" s="899"/>
    </row>
    <row r="2809" spans="1:30" s="900" customFormat="1" ht="15.75" customHeight="1">
      <c r="A2809" s="895" t="str">
        <f>IF(B2809&lt;&gt;"",IF(AND(B2809&gt;=_TM1,B2809&lt;=_TM2,OR(TH!L2789="1111",TH!M2789="1111")),TH!D2789,""),"")</f>
        <v/>
      </c>
      <c r="B2809" s="896">
        <f t="shared" si="147"/>
        <v>1</v>
      </c>
      <c r="C2809" s="897">
        <f t="shared" si="148"/>
        <v>42397</v>
      </c>
      <c r="D2809" s="897" t="s">
        <v>1580</v>
      </c>
      <c r="E2809" s="48">
        <v>42397</v>
      </c>
      <c r="F2809" s="49" t="s">
        <v>1273</v>
      </c>
      <c r="G2809" s="49" t="s">
        <v>442</v>
      </c>
      <c r="H2809" s="965" t="s">
        <v>1328</v>
      </c>
      <c r="I2809" s="254">
        <v>500</v>
      </c>
      <c r="J2809" s="254">
        <v>1835.4474489684033</v>
      </c>
      <c r="K2809" s="51">
        <f t="shared" si="149"/>
        <v>917724</v>
      </c>
      <c r="L2809" s="966" t="s">
        <v>172</v>
      </c>
      <c r="M2809" s="966" t="s">
        <v>167</v>
      </c>
      <c r="N2809" s="52" t="str">
        <f>IF(AND('331-CT'!$E$7=TH!H2809,OR(L2809="331",M2809="331")),"331",IF(AND(OR(L2809="131",M2809="131"),H2809='131-CT'!$E$7),"131",""))</f>
        <v/>
      </c>
      <c r="O2809" s="857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65"/>
      <c r="AC2809" s="899"/>
      <c r="AD2809" s="899"/>
    </row>
    <row r="2810" spans="1:30" s="900" customFormat="1" ht="15.75" customHeight="1">
      <c r="A2810" s="895" t="str">
        <f>IF(B2810&lt;&gt;"",IF(AND(B2810&gt;=_TM1,B2810&lt;=_TM2,OR(TH!L2790="1111",TH!M2790="1111")),TH!D2790,""),"")</f>
        <v/>
      </c>
      <c r="B2810" s="896">
        <f t="shared" ref="B2810:B2873" si="150">IF(C2810&lt;&gt;"",MONTH(C2810),"")</f>
        <v>1</v>
      </c>
      <c r="C2810" s="897">
        <f t="shared" si="148"/>
        <v>42397</v>
      </c>
      <c r="D2810" s="897" t="s">
        <v>1580</v>
      </c>
      <c r="E2810" s="48">
        <v>42397</v>
      </c>
      <c r="F2810" s="870" t="s">
        <v>1274</v>
      </c>
      <c r="G2810" s="49" t="s">
        <v>442</v>
      </c>
      <c r="H2810" s="965" t="s">
        <v>1328</v>
      </c>
      <c r="I2810" s="254">
        <v>1500</v>
      </c>
      <c r="J2810" s="254">
        <v>2669.7417439540413</v>
      </c>
      <c r="K2810" s="51">
        <f t="shared" si="149"/>
        <v>4004613</v>
      </c>
      <c r="L2810" s="966" t="s">
        <v>172</v>
      </c>
      <c r="M2810" s="966" t="s">
        <v>167</v>
      </c>
      <c r="N2810" s="52" t="str">
        <f>IF(AND('331-CT'!$E$7=TH!H2810,OR(L2810="331",M2810="331")),"331",IF(AND(OR(L2810="131",M2810="131"),H2810='131-CT'!$E$7),"131",""))</f>
        <v/>
      </c>
      <c r="O2810" s="857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65"/>
      <c r="AC2810" s="899"/>
    </row>
    <row r="2811" spans="1:30" s="900" customFormat="1" ht="15.75" customHeight="1">
      <c r="A2811" s="895" t="str">
        <f>IF(B2811&lt;&gt;"",IF(AND(B2811&gt;=_TM1,B2811&lt;=_TM2,OR(TH!L2753="1111",TH!M2753="1111")),TH!D2753,""),"")</f>
        <v/>
      </c>
      <c r="B2811" s="896">
        <f t="shared" si="150"/>
        <v>1</v>
      </c>
      <c r="C2811" s="897">
        <f t="shared" si="148"/>
        <v>42397</v>
      </c>
      <c r="D2811" s="897" t="s">
        <v>1580</v>
      </c>
      <c r="E2811" s="48">
        <v>42397</v>
      </c>
      <c r="F2811" s="49" t="s">
        <v>1268</v>
      </c>
      <c r="G2811" s="49" t="s">
        <v>443</v>
      </c>
      <c r="H2811" s="965" t="s">
        <v>1328</v>
      </c>
      <c r="I2811" s="254">
        <v>502</v>
      </c>
      <c r="J2811" s="254">
        <v>750.8648654870741</v>
      </c>
      <c r="K2811" s="51">
        <f t="shared" si="149"/>
        <v>376934</v>
      </c>
      <c r="L2811" s="966" t="s">
        <v>172</v>
      </c>
      <c r="M2811" s="966" t="s">
        <v>167</v>
      </c>
      <c r="N2811" s="52" t="str">
        <f>IF(AND('331-CT'!$E$7=TH!H2811,OR(L2811="331",M2811="331")),"331",IF(AND(OR(L2811="131",M2811="131"),H2811='131-CT'!$E$7),"131",""))</f>
        <v/>
      </c>
      <c r="O2811" s="857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65"/>
      <c r="AC2811" s="899"/>
      <c r="AD2811" s="899"/>
    </row>
    <row r="2812" spans="1:30" s="900" customFormat="1" ht="15.75" customHeight="1">
      <c r="A2812" s="895" t="str">
        <f>IF(B2812&lt;&gt;"",IF(AND(B2812&gt;=_TM1,B2812&lt;=_TM2,OR(TH!L2754="1111",TH!M2754="1111")),TH!D2754,""),"")</f>
        <v/>
      </c>
      <c r="B2812" s="896">
        <f t="shared" si="150"/>
        <v>1</v>
      </c>
      <c r="C2812" s="897">
        <f t="shared" si="148"/>
        <v>42397</v>
      </c>
      <c r="D2812" s="897" t="s">
        <v>1580</v>
      </c>
      <c r="E2812" s="869">
        <v>42397</v>
      </c>
      <c r="F2812" s="870" t="s">
        <v>1339</v>
      </c>
      <c r="G2812" s="871" t="s">
        <v>446</v>
      </c>
      <c r="H2812" s="965" t="s">
        <v>1328</v>
      </c>
      <c r="I2812" s="254">
        <v>50</v>
      </c>
      <c r="J2812" s="254">
        <v>10094.960969326217</v>
      </c>
      <c r="K2812" s="51">
        <f t="shared" si="149"/>
        <v>504748</v>
      </c>
      <c r="L2812" s="966" t="s">
        <v>172</v>
      </c>
      <c r="M2812" s="966" t="s">
        <v>167</v>
      </c>
      <c r="N2812" s="52" t="str">
        <f>IF(AND('331-CT'!$E$7=TH!H2812,OR(L2812="331",M2812="331")),"331",IF(AND(OR(L2812="131",M2812="131"),H2812='131-CT'!$E$7),"131",""))</f>
        <v/>
      </c>
      <c r="O2812" s="857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65"/>
      <c r="AC2812" s="899"/>
    </row>
    <row r="2813" spans="1:30" s="900" customFormat="1" ht="15.75" customHeight="1">
      <c r="A2813" s="895" t="str">
        <f>IF(B2813&lt;&gt;"",IF(AND(B2813&gt;=_TM1,B2813&lt;=_TM2,OR(TH!L2746="1111",TH!M2746="1111")),TH!D2746,""),"")</f>
        <v/>
      </c>
      <c r="B2813" s="896">
        <f t="shared" si="150"/>
        <v>1</v>
      </c>
      <c r="C2813" s="897">
        <f t="shared" si="148"/>
        <v>42397</v>
      </c>
      <c r="D2813" s="897" t="s">
        <v>1580</v>
      </c>
      <c r="E2813" s="869">
        <v>42397</v>
      </c>
      <c r="F2813" s="870" t="s">
        <v>943</v>
      </c>
      <c r="G2813" s="871" t="s">
        <v>719</v>
      </c>
      <c r="H2813" s="965" t="s">
        <v>1328</v>
      </c>
      <c r="I2813" s="254">
        <v>59</v>
      </c>
      <c r="J2813" s="254">
        <v>63072.648700914222</v>
      </c>
      <c r="K2813" s="51">
        <f t="shared" si="149"/>
        <v>3721286</v>
      </c>
      <c r="L2813" s="966" t="s">
        <v>172</v>
      </c>
      <c r="M2813" s="966" t="s">
        <v>167</v>
      </c>
      <c r="N2813" s="52" t="str">
        <f>IF(AND('331-CT'!$E$7=TH!H2813,OR(L2813="331",M2813="331")),"331",IF(AND(OR(L2813="131",M2813="131"),H2813='131-CT'!$E$7),"131",""))</f>
        <v/>
      </c>
      <c r="O2813" s="857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65"/>
    </row>
    <row r="2814" spans="1:30" s="900" customFormat="1" ht="15.75" customHeight="1">
      <c r="A2814" s="895" t="str">
        <f>IF(B2814&lt;&gt;"",IF(AND(B2814&gt;=_TM1,B2814&lt;=_TM2,OR(TH!L2747="1111",TH!M2747="1111")),TH!D2747,""),"")</f>
        <v/>
      </c>
      <c r="B2814" s="896">
        <f t="shared" si="150"/>
        <v>1</v>
      </c>
      <c r="C2814" s="897">
        <f t="shared" si="148"/>
        <v>42397</v>
      </c>
      <c r="D2814" s="897" t="s">
        <v>1580</v>
      </c>
      <c r="E2814" s="869">
        <v>42397</v>
      </c>
      <c r="F2814" s="870" t="s">
        <v>693</v>
      </c>
      <c r="G2814" s="871" t="s">
        <v>719</v>
      </c>
      <c r="H2814" s="965" t="s">
        <v>1328</v>
      </c>
      <c r="I2814" s="254">
        <v>100</v>
      </c>
      <c r="J2814" s="254">
        <v>36291.801831875244</v>
      </c>
      <c r="K2814" s="51">
        <f t="shared" si="149"/>
        <v>3629180</v>
      </c>
      <c r="L2814" s="966" t="s">
        <v>172</v>
      </c>
      <c r="M2814" s="966" t="s">
        <v>167</v>
      </c>
      <c r="N2814" s="52" t="str">
        <f>IF(AND('331-CT'!$E$7=TH!H2814,OR(L2814="331",M2814="331")),"331",IF(AND(OR(L2814="131",M2814="131"),H2814='131-CT'!$E$7),"131",""))</f>
        <v/>
      </c>
      <c r="O2814" s="857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65"/>
    </row>
    <row r="2815" spans="1:30" s="900" customFormat="1" ht="15.75" customHeight="1">
      <c r="A2815" s="895" t="str">
        <f>IF(B2815&lt;&gt;"",IF(AND(B2815&gt;=_TM1,B2815&lt;=_TM2,OR(TH!L2765="1111",TH!M2765="1111")),TH!D2765,""),"")</f>
        <v/>
      </c>
      <c r="B2815" s="896">
        <f t="shared" si="150"/>
        <v>1</v>
      </c>
      <c r="C2815" s="897">
        <f t="shared" ref="C2815:C2878" si="151">E2815</f>
        <v>42397</v>
      </c>
      <c r="D2815" s="897" t="s">
        <v>1580</v>
      </c>
      <c r="E2815" s="869">
        <v>42397</v>
      </c>
      <c r="F2815" s="870" t="s">
        <v>944</v>
      </c>
      <c r="G2815" s="871" t="s">
        <v>719</v>
      </c>
      <c r="H2815" s="965" t="s">
        <v>1328</v>
      </c>
      <c r="I2815" s="254">
        <v>37</v>
      </c>
      <c r="J2815" s="254">
        <v>22442.516535113657</v>
      </c>
      <c r="K2815" s="51">
        <f t="shared" si="149"/>
        <v>830373</v>
      </c>
      <c r="L2815" s="966" t="s">
        <v>172</v>
      </c>
      <c r="M2815" s="966" t="s">
        <v>167</v>
      </c>
      <c r="N2815" s="52" t="str">
        <f>IF(AND('331-CT'!$E$7=TH!H2815,OR(L2815="331",M2815="331")),"331",IF(AND(OR(L2815="131",M2815="131"),H2815='131-CT'!$E$7),"131",""))</f>
        <v/>
      </c>
      <c r="O2815" s="857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65"/>
      <c r="AC2815" s="899"/>
      <c r="AD2815" s="899"/>
    </row>
    <row r="2816" spans="1:30" s="900" customFormat="1" ht="15.75" customHeight="1">
      <c r="A2816" s="895" t="str">
        <f>IF(B2816&lt;&gt;"",IF(AND(B2816&gt;=_TM1,B2816&lt;=_TM2,OR(TH!L2766="1111",TH!M2766="1111")),TH!D2766,""),"")</f>
        <v/>
      </c>
      <c r="B2816" s="896">
        <f t="shared" si="150"/>
        <v>1</v>
      </c>
      <c r="C2816" s="897">
        <f t="shared" si="151"/>
        <v>42397</v>
      </c>
      <c r="D2816" s="897" t="s">
        <v>1580</v>
      </c>
      <c r="E2816" s="869">
        <v>42397</v>
      </c>
      <c r="F2816" s="870" t="s">
        <v>448</v>
      </c>
      <c r="G2816" s="871" t="s">
        <v>719</v>
      </c>
      <c r="H2816" s="965" t="s">
        <v>1328</v>
      </c>
      <c r="I2816" s="254">
        <v>131</v>
      </c>
      <c r="J2816" s="254">
        <v>60486.336386458745</v>
      </c>
      <c r="K2816" s="51">
        <f t="shared" ref="K2816:K2879" si="152">ROUND(I2816*J2816,0)</f>
        <v>7923710</v>
      </c>
      <c r="L2816" s="966" t="s">
        <v>172</v>
      </c>
      <c r="M2816" s="966" t="s">
        <v>167</v>
      </c>
      <c r="N2816" s="52" t="str">
        <f>IF(AND('331-CT'!$E$7=TH!H2816,OR(L2816="331",M2816="331")),"331",IF(AND(OR(L2816="131",M2816="131"),H2816='131-CT'!$E$7),"131",""))</f>
        <v/>
      </c>
      <c r="O2816" s="857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65"/>
      <c r="AC2816" s="899"/>
    </row>
    <row r="2817" spans="1:30" s="900" customFormat="1" ht="15.75" customHeight="1">
      <c r="A2817" s="895" t="str">
        <f>IF(B2817&lt;&gt;"",IF(AND(B2817&gt;=_TM1,B2817&lt;=_TM2,OR(TH!L2814="1111",TH!M2814="1111")),TH!D2814,""),"")</f>
        <v/>
      </c>
      <c r="B2817" s="896">
        <f t="shared" si="150"/>
        <v>1</v>
      </c>
      <c r="C2817" s="897">
        <f t="shared" si="151"/>
        <v>42399</v>
      </c>
      <c r="D2817" s="897" t="s">
        <v>1580</v>
      </c>
      <c r="E2817" s="869">
        <v>42399</v>
      </c>
      <c r="F2817" s="967" t="s">
        <v>945</v>
      </c>
      <c r="G2817" s="871" t="s">
        <v>449</v>
      </c>
      <c r="H2817" s="965" t="s">
        <v>1328</v>
      </c>
      <c r="I2817" s="254">
        <v>51</v>
      </c>
      <c r="J2817" s="254">
        <v>7008.0720778793575</v>
      </c>
      <c r="K2817" s="51">
        <f t="shared" si="152"/>
        <v>357412</v>
      </c>
      <c r="L2817" s="966" t="s">
        <v>172</v>
      </c>
      <c r="M2817" s="966" t="s">
        <v>167</v>
      </c>
      <c r="N2817" s="52" t="str">
        <f>IF(AND('331-CT'!$E$7=TH!H2817,OR(L2817="331",M2817="331")),"331",IF(AND(OR(L2817="131",M2817="131"),H2817='131-CT'!$E$7),"131",""))</f>
        <v/>
      </c>
      <c r="O2817" s="857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65"/>
      <c r="AC2817" s="899"/>
      <c r="AD2817" s="899"/>
    </row>
    <row r="2818" spans="1:30" s="900" customFormat="1" ht="15.75" customHeight="1">
      <c r="A2818" s="895" t="str">
        <f>IF(B2818&lt;&gt;"",IF(AND(B2818&gt;=_TM1,B2818&lt;=_TM2,OR(TH!L2815="1111",TH!M2815="1111")),TH!D2815,""),"")</f>
        <v/>
      </c>
      <c r="B2818" s="896">
        <f t="shared" si="150"/>
        <v>1</v>
      </c>
      <c r="C2818" s="897">
        <f t="shared" si="151"/>
        <v>42399</v>
      </c>
      <c r="D2818" s="897" t="s">
        <v>1580</v>
      </c>
      <c r="E2818" s="869">
        <v>42399</v>
      </c>
      <c r="F2818" s="870" t="s">
        <v>510</v>
      </c>
      <c r="G2818" s="871" t="s">
        <v>449</v>
      </c>
      <c r="H2818" s="965" t="s">
        <v>1328</v>
      </c>
      <c r="I2818" s="254">
        <v>978</v>
      </c>
      <c r="J2818" s="254">
        <v>10595.537546317601</v>
      </c>
      <c r="K2818" s="51">
        <f t="shared" si="152"/>
        <v>10362436</v>
      </c>
      <c r="L2818" s="966" t="s">
        <v>172</v>
      </c>
      <c r="M2818" s="966" t="s">
        <v>167</v>
      </c>
      <c r="N2818" s="52" t="str">
        <f>IF(AND('331-CT'!$E$7=TH!H2818,OR(L2818="331",M2818="331")),"331",IF(AND(OR(L2818="131",M2818="131"),H2818='131-CT'!$E$7),"131",""))</f>
        <v/>
      </c>
      <c r="O2818" s="857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65"/>
      <c r="AC2818" s="899"/>
    </row>
    <row r="2819" spans="1:30" s="900" customFormat="1" ht="15.75" customHeight="1">
      <c r="A2819" s="895" t="str">
        <f>IF(B2819&lt;&gt;"",IF(AND(B2819&gt;=_TM1,B2819&lt;=_TM2,OR(TH!L2748="1111",TH!M2748="1111")),TH!D2748,""),"")</f>
        <v/>
      </c>
      <c r="B2819" s="896">
        <f t="shared" si="150"/>
        <v>1</v>
      </c>
      <c r="C2819" s="897">
        <f t="shared" si="151"/>
        <v>42399</v>
      </c>
      <c r="D2819" s="897" t="s">
        <v>1580</v>
      </c>
      <c r="E2819" s="869">
        <v>42399</v>
      </c>
      <c r="F2819" s="870" t="s">
        <v>438</v>
      </c>
      <c r="G2819" s="871" t="s">
        <v>449</v>
      </c>
      <c r="H2819" s="965" t="s">
        <v>1328</v>
      </c>
      <c r="I2819" s="254">
        <v>53</v>
      </c>
      <c r="J2819" s="254">
        <v>11012.684693810421</v>
      </c>
      <c r="K2819" s="51">
        <f t="shared" si="152"/>
        <v>583672</v>
      </c>
      <c r="L2819" s="966" t="s">
        <v>172</v>
      </c>
      <c r="M2819" s="966" t="s">
        <v>167</v>
      </c>
      <c r="N2819" s="52" t="str">
        <f>IF(AND('331-CT'!$E$7=TH!H2819,OR(L2819="331",M2819="331")),"331",IF(AND(OR(L2819="131",M2819="131"),H2819='131-CT'!$E$7),"131",""))</f>
        <v/>
      </c>
      <c r="O2819" s="857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65"/>
      <c r="AC2819" s="899"/>
      <c r="AD2819" s="899"/>
    </row>
    <row r="2820" spans="1:30" s="900" customFormat="1" ht="15.75" customHeight="1">
      <c r="A2820" s="895" t="str">
        <f>IF(B2820&lt;&gt;"",IF(AND(B2820&gt;=_TM1,B2820&lt;=_TM2,OR(TH!L2749="1111",TH!M2749="1111")),TH!D2749,""),"")</f>
        <v/>
      </c>
      <c r="B2820" s="896">
        <f t="shared" si="150"/>
        <v>1</v>
      </c>
      <c r="C2820" s="897">
        <f t="shared" si="151"/>
        <v>42399</v>
      </c>
      <c r="D2820" s="897" t="s">
        <v>1580</v>
      </c>
      <c r="E2820" s="869">
        <v>42399</v>
      </c>
      <c r="F2820" s="870" t="s">
        <v>928</v>
      </c>
      <c r="G2820" s="871" t="s">
        <v>449</v>
      </c>
      <c r="H2820" s="965" t="s">
        <v>1328</v>
      </c>
      <c r="I2820" s="254">
        <v>1570</v>
      </c>
      <c r="J2820" s="254">
        <v>12097.267277291749</v>
      </c>
      <c r="K2820" s="51">
        <f t="shared" si="152"/>
        <v>18992710</v>
      </c>
      <c r="L2820" s="966" t="s">
        <v>172</v>
      </c>
      <c r="M2820" s="966" t="s">
        <v>167</v>
      </c>
      <c r="N2820" s="52" t="str">
        <f>IF(AND('331-CT'!$E$7=TH!H2820,OR(L2820="331",M2820="331")),"331",IF(AND(OR(L2820="131",M2820="131"),H2820='131-CT'!$E$7),"131",""))</f>
        <v/>
      </c>
      <c r="O2820" s="857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65"/>
      <c r="AC2820" s="899"/>
    </row>
    <row r="2821" spans="1:30" s="900" customFormat="1" ht="15.75" customHeight="1">
      <c r="A2821" s="895" t="str">
        <f>IF(B2821&lt;&gt;"",IF(AND(B2821&gt;=_TM1,B2821&lt;=_TM2,OR(TH!L2750="1111",TH!M2750="1111")),TH!D2750,""),"")</f>
        <v/>
      </c>
      <c r="B2821" s="896">
        <f t="shared" si="150"/>
        <v>1</v>
      </c>
      <c r="C2821" s="897">
        <f t="shared" si="151"/>
        <v>42399</v>
      </c>
      <c r="D2821" s="897" t="s">
        <v>1580</v>
      </c>
      <c r="E2821" s="963">
        <v>42399</v>
      </c>
      <c r="F2821" s="967" t="s">
        <v>510</v>
      </c>
      <c r="G2821" s="49" t="s">
        <v>946</v>
      </c>
      <c r="H2821" s="965" t="s">
        <v>1328</v>
      </c>
      <c r="I2821" s="254">
        <v>834</v>
      </c>
      <c r="J2821" s="254">
        <v>10595.537546317601</v>
      </c>
      <c r="K2821" s="51">
        <f t="shared" si="152"/>
        <v>8836678</v>
      </c>
      <c r="L2821" s="966" t="s">
        <v>172</v>
      </c>
      <c r="M2821" s="966" t="s">
        <v>167</v>
      </c>
      <c r="N2821" s="52" t="str">
        <f>IF(AND('331-CT'!$E$7=TH!H2821,OR(L2821="331",M2821="331")),"331",IF(AND(OR(L2821="131",M2821="131"),H2821='131-CT'!$E$7),"131",""))</f>
        <v/>
      </c>
      <c r="O2821" s="857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65"/>
      <c r="AC2821" s="899"/>
    </row>
    <row r="2822" spans="1:30" s="900" customFormat="1" ht="15.75" customHeight="1">
      <c r="A2822" s="895" t="str">
        <f>IF(B2822&lt;&gt;"",IF(AND(B2822&gt;=_TM1,B2822&lt;=_TM2,OR(TH!L2822="1111",TH!M2822="1111")),TH!D2822,""),"")</f>
        <v/>
      </c>
      <c r="B2822" s="896">
        <f t="shared" si="150"/>
        <v>1</v>
      </c>
      <c r="C2822" s="897">
        <f t="shared" si="151"/>
        <v>42399</v>
      </c>
      <c r="D2822" s="897" t="s">
        <v>1580</v>
      </c>
      <c r="E2822" s="963">
        <v>42399</v>
      </c>
      <c r="F2822" s="964" t="s">
        <v>947</v>
      </c>
      <c r="G2822" s="49" t="s">
        <v>946</v>
      </c>
      <c r="H2822" s="965" t="s">
        <v>1328</v>
      </c>
      <c r="I2822" s="254">
        <v>106</v>
      </c>
      <c r="J2822" s="254">
        <v>9427.5255333377063</v>
      </c>
      <c r="K2822" s="51">
        <f t="shared" si="152"/>
        <v>999318</v>
      </c>
      <c r="L2822" s="966" t="s">
        <v>172</v>
      </c>
      <c r="M2822" s="966" t="s">
        <v>167</v>
      </c>
      <c r="N2822" s="52" t="str">
        <f>IF(AND('331-CT'!$E$7=TH!H2822,OR(L2822="331",M2822="331")),"331",IF(AND(OR(L2822="131",M2822="131"),H2822='131-CT'!$E$7),"131",""))</f>
        <v/>
      </c>
      <c r="O2822" s="857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65"/>
    </row>
    <row r="2823" spans="1:30" s="900" customFormat="1" ht="15.75" customHeight="1">
      <c r="A2823" s="895" t="str">
        <f>IF(B2823&lt;&gt;"",IF(AND(B2823&gt;=_TM1,B2823&lt;=_TM2,OR(TH!L2823="1111",TH!M2823="1111")),TH!D2823,""),"")</f>
        <v/>
      </c>
      <c r="B2823" s="896">
        <f t="shared" si="150"/>
        <v>1</v>
      </c>
      <c r="C2823" s="897">
        <f t="shared" si="151"/>
        <v>42399</v>
      </c>
      <c r="D2823" s="897" t="s">
        <v>1580</v>
      </c>
      <c r="E2823" s="963">
        <v>42399</v>
      </c>
      <c r="F2823" s="49" t="s">
        <v>948</v>
      </c>
      <c r="G2823" s="49" t="s">
        <v>946</v>
      </c>
      <c r="H2823" s="965" t="s">
        <v>1328</v>
      </c>
      <c r="I2823" s="254">
        <v>70</v>
      </c>
      <c r="J2823" s="254">
        <v>11179.543552807549</v>
      </c>
      <c r="K2823" s="51">
        <f t="shared" si="152"/>
        <v>782568</v>
      </c>
      <c r="L2823" s="966" t="s">
        <v>172</v>
      </c>
      <c r="M2823" s="966" t="s">
        <v>167</v>
      </c>
      <c r="N2823" s="52" t="str">
        <f>IF(AND('331-CT'!$E$7=TH!H2823,OR(L2823="331",M2823="331")),"331",IF(AND(OR(L2823="131",M2823="131"),H2823='131-CT'!$E$7),"131",""))</f>
        <v/>
      </c>
      <c r="O2823" s="857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65"/>
    </row>
    <row r="2824" spans="1:30" s="900" customFormat="1" ht="15.75" customHeight="1">
      <c r="A2824" s="895" t="str">
        <f>IF(B2824&lt;&gt;"",IF(AND(B2824&gt;=_TM1,B2824&lt;=_TM2,OR(TH!L2824="1111",TH!M2824="1111")),TH!D2824,""),"")</f>
        <v/>
      </c>
      <c r="B2824" s="896">
        <f t="shared" si="150"/>
        <v>1</v>
      </c>
      <c r="C2824" s="897">
        <f t="shared" si="151"/>
        <v>42399</v>
      </c>
      <c r="D2824" s="897" t="s">
        <v>1580</v>
      </c>
      <c r="E2824" s="963">
        <v>42399</v>
      </c>
      <c r="F2824" s="967" t="s">
        <v>949</v>
      </c>
      <c r="G2824" s="49" t="s">
        <v>946</v>
      </c>
      <c r="H2824" s="965" t="s">
        <v>1328</v>
      </c>
      <c r="I2824" s="254">
        <v>23</v>
      </c>
      <c r="J2824" s="254">
        <v>10011.531539827654</v>
      </c>
      <c r="K2824" s="51">
        <f t="shared" si="152"/>
        <v>230265</v>
      </c>
      <c r="L2824" s="966" t="s">
        <v>172</v>
      </c>
      <c r="M2824" s="966" t="s">
        <v>167</v>
      </c>
      <c r="N2824" s="52" t="str">
        <f>IF(AND('331-CT'!$E$7=TH!H2824,OR(L2824="331",M2824="331")),"331",IF(AND(OR(L2824="131",M2824="131"),H2824='131-CT'!$E$7),"131",""))</f>
        <v/>
      </c>
      <c r="O2824" s="857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65"/>
    </row>
    <row r="2825" spans="1:30" s="900" customFormat="1" ht="15.75" customHeight="1">
      <c r="A2825" s="895" t="str">
        <f>IF(B2825&lt;&gt;"",IF(AND(B2825&gt;=_TM1,B2825&lt;=_TM2,OR(TH!L2825="1111",TH!M2825="1111")),TH!D2825,""),"")</f>
        <v/>
      </c>
      <c r="B2825" s="896">
        <f t="shared" si="150"/>
        <v>1</v>
      </c>
      <c r="C2825" s="897">
        <f t="shared" si="151"/>
        <v>42399</v>
      </c>
      <c r="D2825" s="897" t="s">
        <v>1580</v>
      </c>
      <c r="E2825" s="48">
        <v>42399</v>
      </c>
      <c r="F2825" s="870" t="s">
        <v>950</v>
      </c>
      <c r="G2825" s="49" t="s">
        <v>946</v>
      </c>
      <c r="H2825" s="965" t="s">
        <v>1328</v>
      </c>
      <c r="I2825" s="254">
        <v>55</v>
      </c>
      <c r="J2825" s="254">
        <v>10512.108116819038</v>
      </c>
      <c r="K2825" s="51">
        <f t="shared" si="152"/>
        <v>578166</v>
      </c>
      <c r="L2825" s="966" t="s">
        <v>172</v>
      </c>
      <c r="M2825" s="966" t="s">
        <v>167</v>
      </c>
      <c r="N2825" s="52" t="str">
        <f>IF(AND('331-CT'!$E$7=TH!H2825,OR(L2825="331",M2825="331")),"331",IF(AND(OR(L2825="131",M2825="131"),H2825='131-CT'!$E$7),"131",""))</f>
        <v/>
      </c>
      <c r="O2825" s="857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65"/>
    </row>
    <row r="2826" spans="1:30" s="900" customFormat="1" ht="15.75" customHeight="1">
      <c r="A2826" s="895" t="str">
        <f>IF(B2826&lt;&gt;"",IF(AND(B2826&gt;=_TM1,B2826&lt;=_TM2,OR(TH!L2826="1111",TH!M2826="1111")),TH!D2826,""),"")</f>
        <v/>
      </c>
      <c r="B2826" s="896">
        <f t="shared" si="150"/>
        <v>1</v>
      </c>
      <c r="C2826" s="897">
        <f t="shared" si="151"/>
        <v>42399</v>
      </c>
      <c r="D2826" s="897" t="s">
        <v>1580</v>
      </c>
      <c r="E2826" s="48">
        <v>42399</v>
      </c>
      <c r="F2826" s="870" t="s">
        <v>951</v>
      </c>
      <c r="G2826" s="49" t="s">
        <v>450</v>
      </c>
      <c r="H2826" s="965" t="s">
        <v>1328</v>
      </c>
      <c r="I2826" s="254">
        <v>209</v>
      </c>
      <c r="J2826" s="254">
        <v>7091.5015073779214</v>
      </c>
      <c r="K2826" s="51">
        <f t="shared" si="152"/>
        <v>1482124</v>
      </c>
      <c r="L2826" s="966" t="s">
        <v>172</v>
      </c>
      <c r="M2826" s="966" t="s">
        <v>167</v>
      </c>
      <c r="N2826" s="52" t="str">
        <f>IF(AND('331-CT'!$E$7=TH!H2826,OR(L2826="331",M2826="331")),"331",IF(AND(OR(L2826="131",M2826="131"),H2826='131-CT'!$E$7),"131",""))</f>
        <v/>
      </c>
      <c r="O2826" s="857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65"/>
    </row>
    <row r="2827" spans="1:30" s="900" customFormat="1" ht="15.75" customHeight="1">
      <c r="A2827" s="895" t="str">
        <f>IF(B2827&lt;&gt;"",IF(AND(B2827&gt;=_TM1,B2827&lt;=_TM2,OR(TH!L2827="1111",TH!M2827="1111")),TH!D2827,""),"")</f>
        <v/>
      </c>
      <c r="B2827" s="896">
        <f t="shared" si="150"/>
        <v>1</v>
      </c>
      <c r="C2827" s="897">
        <f t="shared" si="151"/>
        <v>42399</v>
      </c>
      <c r="D2827" s="897" t="s">
        <v>1580</v>
      </c>
      <c r="E2827" s="48">
        <v>42399</v>
      </c>
      <c r="F2827" s="967" t="s">
        <v>952</v>
      </c>
      <c r="G2827" s="49" t="s">
        <v>450</v>
      </c>
      <c r="H2827" s="965" t="s">
        <v>1328</v>
      </c>
      <c r="I2827" s="254">
        <v>10</v>
      </c>
      <c r="J2827" s="254">
        <v>6924.6426483807936</v>
      </c>
      <c r="K2827" s="51">
        <f t="shared" si="152"/>
        <v>69246</v>
      </c>
      <c r="L2827" s="966" t="s">
        <v>172</v>
      </c>
      <c r="M2827" s="966" t="s">
        <v>167</v>
      </c>
      <c r="N2827" s="52" t="str">
        <f>IF(AND('331-CT'!$E$7=TH!H2827,OR(L2827="331",M2827="331")),"331",IF(AND(OR(L2827="131",M2827="131"),H2827='131-CT'!$E$7),"131",""))</f>
        <v/>
      </c>
      <c r="O2827" s="857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65"/>
    </row>
    <row r="2828" spans="1:30" s="900" customFormat="1" ht="15.75" customHeight="1">
      <c r="A2828" s="895" t="str">
        <f>IF(B2828&lt;&gt;"",IF(AND(B2828&gt;=_TM1,B2828&lt;=_TM2,OR(TH!L2828="1111",TH!M2828="1111")),TH!D2828,""),"")</f>
        <v/>
      </c>
      <c r="B2828" s="896">
        <f t="shared" si="150"/>
        <v>1</v>
      </c>
      <c r="C2828" s="897">
        <f t="shared" si="151"/>
        <v>42399</v>
      </c>
      <c r="D2828" s="897" t="s">
        <v>1580</v>
      </c>
      <c r="E2828" s="48">
        <v>42399</v>
      </c>
      <c r="F2828" s="967" t="s">
        <v>953</v>
      </c>
      <c r="G2828" s="49" t="s">
        <v>451</v>
      </c>
      <c r="H2828" s="965" t="s">
        <v>1328</v>
      </c>
      <c r="I2828" s="254">
        <v>50</v>
      </c>
      <c r="J2828" s="254">
        <v>26363.699721546156</v>
      </c>
      <c r="K2828" s="51">
        <f t="shared" si="152"/>
        <v>1318185</v>
      </c>
      <c r="L2828" s="966" t="s">
        <v>172</v>
      </c>
      <c r="M2828" s="966" t="s">
        <v>167</v>
      </c>
      <c r="N2828" s="52" t="str">
        <f>IF(AND('331-CT'!$E$7=TH!H2828,OR(L2828="331",M2828="331")),"331",IF(AND(OR(L2828="131",M2828="131"),H2828='131-CT'!$E$7),"131",""))</f>
        <v/>
      </c>
      <c r="O2828" s="857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65"/>
    </row>
    <row r="2829" spans="1:30" s="900" customFormat="1" ht="15.75" customHeight="1">
      <c r="A2829" s="895" t="str">
        <f>IF(B2829&lt;&gt;"",IF(AND(B2829&gt;=_TM1,B2829&lt;=_TM2,OR(TH!L2829="1111",TH!M2829="1111")),TH!D2829,""),"")</f>
        <v/>
      </c>
      <c r="B2829" s="896">
        <f t="shared" si="150"/>
        <v>2</v>
      </c>
      <c r="C2829" s="897">
        <f t="shared" si="151"/>
        <v>42401</v>
      </c>
      <c r="D2829" s="897" t="s">
        <v>1580</v>
      </c>
      <c r="E2829" s="48">
        <v>42401</v>
      </c>
      <c r="F2829" s="967" t="s">
        <v>954</v>
      </c>
      <c r="G2829" s="49" t="s">
        <v>452</v>
      </c>
      <c r="H2829" s="965" t="s">
        <v>1328</v>
      </c>
      <c r="I2829" s="254">
        <v>103</v>
      </c>
      <c r="J2829" s="254">
        <v>11179.543552807549</v>
      </c>
      <c r="K2829" s="51">
        <f t="shared" si="152"/>
        <v>1151493</v>
      </c>
      <c r="L2829" s="966" t="s">
        <v>172</v>
      </c>
      <c r="M2829" s="966" t="s">
        <v>167</v>
      </c>
      <c r="N2829" s="52" t="str">
        <f>IF(AND('331-CT'!$E$7=TH!H2829,OR(L2829="331",M2829="331")),"331",IF(AND(OR(L2829="131",M2829="131"),H2829='131-CT'!$E$7),"131",""))</f>
        <v/>
      </c>
      <c r="O2829" s="857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65"/>
    </row>
    <row r="2830" spans="1:30" s="900" customFormat="1" ht="15.75" customHeight="1">
      <c r="A2830" s="895" t="str">
        <f>IF(B2830&lt;&gt;"",IF(AND(B2830&gt;=_TM1,B2830&lt;=_TM2,OR(TH!L2830="1111",TH!M2830="1111")),TH!D2830,""),"")</f>
        <v/>
      </c>
      <c r="B2830" s="896">
        <f t="shared" si="150"/>
        <v>2</v>
      </c>
      <c r="C2830" s="897">
        <f t="shared" si="151"/>
        <v>42401</v>
      </c>
      <c r="D2830" s="897" t="s">
        <v>1580</v>
      </c>
      <c r="E2830" s="48">
        <v>42401</v>
      </c>
      <c r="F2830" s="967" t="s">
        <v>993</v>
      </c>
      <c r="G2830" s="49" t="s">
        <v>453</v>
      </c>
      <c r="H2830" s="965" t="s">
        <v>1328</v>
      </c>
      <c r="I2830" s="254">
        <v>141</v>
      </c>
      <c r="J2830" s="254">
        <v>19856.204220658179</v>
      </c>
      <c r="K2830" s="51">
        <f t="shared" si="152"/>
        <v>2799725</v>
      </c>
      <c r="L2830" s="966" t="s">
        <v>172</v>
      </c>
      <c r="M2830" s="966" t="s">
        <v>167</v>
      </c>
      <c r="N2830" s="52" t="str">
        <f>IF(AND('331-CT'!$E$7=TH!H2830,OR(L2830="331",M2830="331")),"331",IF(AND(OR(L2830="131",M2830="131"),H2830='131-CT'!$E$7),"131",""))</f>
        <v/>
      </c>
      <c r="O2830" s="857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65"/>
    </row>
    <row r="2831" spans="1:30" s="900" customFormat="1" ht="15.75" customHeight="1">
      <c r="A2831" s="895" t="str">
        <f>IF(B2831&lt;&gt;"",IF(AND(B2831&gt;=_TM1,B2831&lt;=_TM2,OR(TH!L2831="1111",TH!M2831="1111")),TH!D2831,""),"")</f>
        <v/>
      </c>
      <c r="B2831" s="896">
        <f t="shared" si="150"/>
        <v>2</v>
      </c>
      <c r="C2831" s="897">
        <f t="shared" si="151"/>
        <v>42401</v>
      </c>
      <c r="D2831" s="897" t="s">
        <v>1580</v>
      </c>
      <c r="E2831" s="48">
        <v>42401</v>
      </c>
      <c r="F2831" s="49" t="s">
        <v>666</v>
      </c>
      <c r="G2831" s="49" t="s">
        <v>955</v>
      </c>
      <c r="H2831" s="965" t="s">
        <v>1328</v>
      </c>
      <c r="I2831" s="254">
        <v>250</v>
      </c>
      <c r="J2831" s="254">
        <v>9177.2372448420174</v>
      </c>
      <c r="K2831" s="51">
        <f t="shared" si="152"/>
        <v>2294309</v>
      </c>
      <c r="L2831" s="966" t="s">
        <v>172</v>
      </c>
      <c r="M2831" s="966" t="s">
        <v>167</v>
      </c>
      <c r="N2831" s="52" t="str">
        <f>IF(AND('331-CT'!$E$7=TH!H2831,OR(L2831="331",M2831="331")),"331",IF(AND(OR(L2831="131",M2831="131"),H2831='131-CT'!$E$7),"131",""))</f>
        <v/>
      </c>
      <c r="O2831" s="857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65"/>
    </row>
    <row r="2832" spans="1:30" s="900" customFormat="1" ht="15.75" customHeight="1">
      <c r="A2832" s="895" t="str">
        <f>IF(B2832&lt;&gt;"",IF(AND(B2832&gt;=_TM1,B2832&lt;=_TM2,OR(TH!L2832="1111",TH!M2832="1111")),TH!D2832,""),"")</f>
        <v/>
      </c>
      <c r="B2832" s="896">
        <f t="shared" si="150"/>
        <v>2</v>
      </c>
      <c r="C2832" s="897">
        <f t="shared" si="151"/>
        <v>42402</v>
      </c>
      <c r="D2832" s="897" t="s">
        <v>1580</v>
      </c>
      <c r="E2832" s="48">
        <v>42402</v>
      </c>
      <c r="F2832" s="49" t="s">
        <v>689</v>
      </c>
      <c r="G2832" s="49" t="s">
        <v>956</v>
      </c>
      <c r="H2832" s="965" t="s">
        <v>1328</v>
      </c>
      <c r="I2832" s="254">
        <v>100</v>
      </c>
      <c r="J2832" s="254">
        <v>12013.837847793186</v>
      </c>
      <c r="K2832" s="51">
        <f t="shared" si="152"/>
        <v>1201384</v>
      </c>
      <c r="L2832" s="966" t="s">
        <v>172</v>
      </c>
      <c r="M2832" s="966" t="s">
        <v>167</v>
      </c>
      <c r="N2832" s="52" t="str">
        <f>IF(AND('331-CT'!$E$7=TH!H2832,OR(L2832="331",M2832="331")),"331",IF(AND(OR(L2832="131",M2832="131"),H2832='131-CT'!$E$7),"131",""))</f>
        <v/>
      </c>
      <c r="O2832" s="857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65"/>
    </row>
    <row r="2833" spans="1:28" s="900" customFormat="1" ht="15.75" customHeight="1">
      <c r="A2833" s="895" t="str">
        <f>IF(B2833&lt;&gt;"",IF(AND(B2833&gt;=_TM1,B2833&lt;=_TM2,OR(TH!L2833="1111",TH!M2833="1111")),TH!D2833,""),"")</f>
        <v/>
      </c>
      <c r="B2833" s="896">
        <f t="shared" si="150"/>
        <v>2</v>
      </c>
      <c r="C2833" s="897">
        <f t="shared" si="151"/>
        <v>42402</v>
      </c>
      <c r="D2833" s="897" t="s">
        <v>1580</v>
      </c>
      <c r="E2833" s="48">
        <v>42402</v>
      </c>
      <c r="F2833" s="870" t="s">
        <v>688</v>
      </c>
      <c r="G2833" s="49" t="s">
        <v>956</v>
      </c>
      <c r="H2833" s="965" t="s">
        <v>1328</v>
      </c>
      <c r="I2833" s="254">
        <v>505</v>
      </c>
      <c r="J2833" s="254">
        <v>6424.0660713894113</v>
      </c>
      <c r="K2833" s="51">
        <f t="shared" si="152"/>
        <v>3244153</v>
      </c>
      <c r="L2833" s="966" t="s">
        <v>172</v>
      </c>
      <c r="M2833" s="966" t="s">
        <v>167</v>
      </c>
      <c r="N2833" s="52" t="str">
        <f>IF(AND('331-CT'!$E$7=TH!H2833,OR(L2833="331",M2833="331")),"331",IF(AND(OR(L2833="131",M2833="131"),H2833='131-CT'!$E$7),"131",""))</f>
        <v/>
      </c>
      <c r="O2833" s="857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65"/>
    </row>
    <row r="2834" spans="1:28" s="900" customFormat="1" ht="15.75" customHeight="1">
      <c r="A2834" s="895" t="str">
        <f>IF(B2834&lt;&gt;"",IF(AND(B2834&gt;=_TM1,B2834&lt;=_TM2,OR(TH!L2834="1111",TH!M2834="1111")),TH!D2834,""),"")</f>
        <v/>
      </c>
      <c r="B2834" s="896">
        <f t="shared" si="150"/>
        <v>2</v>
      </c>
      <c r="C2834" s="897">
        <f t="shared" si="151"/>
        <v>42402</v>
      </c>
      <c r="D2834" s="897" t="s">
        <v>1580</v>
      </c>
      <c r="E2834" s="48">
        <v>42402</v>
      </c>
      <c r="F2834" s="967" t="s">
        <v>419</v>
      </c>
      <c r="G2834" s="49" t="s">
        <v>455</v>
      </c>
      <c r="H2834" s="965" t="s">
        <v>1328</v>
      </c>
      <c r="I2834" s="254">
        <v>494</v>
      </c>
      <c r="J2834" s="254">
        <v>6841.2132188822297</v>
      </c>
      <c r="K2834" s="51">
        <f t="shared" si="152"/>
        <v>3379559</v>
      </c>
      <c r="L2834" s="966" t="s">
        <v>172</v>
      </c>
      <c r="M2834" s="966" t="s">
        <v>167</v>
      </c>
      <c r="N2834" s="52" t="str">
        <f>IF(AND('331-CT'!$E$7=TH!H2834,OR(L2834="331",M2834="331")),"331",IF(AND(OR(L2834="131",M2834="131"),H2834='131-CT'!$E$7),"131",""))</f>
        <v/>
      </c>
      <c r="O2834" s="857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65"/>
    </row>
    <row r="2835" spans="1:28" s="900" customFormat="1" ht="15.75" customHeight="1">
      <c r="A2835" s="895" t="str">
        <f>IF(B2835&lt;&gt;"",IF(AND(B2835&gt;=_TM1,B2835&lt;=_TM2,OR(TH!L2835="1111",TH!M2835="1111")),TH!D2835,""),"")</f>
        <v/>
      </c>
      <c r="B2835" s="896">
        <f t="shared" si="150"/>
        <v>2</v>
      </c>
      <c r="C2835" s="897">
        <f t="shared" si="151"/>
        <v>42403</v>
      </c>
      <c r="D2835" s="897" t="s">
        <v>1580</v>
      </c>
      <c r="E2835" s="48">
        <v>42403</v>
      </c>
      <c r="F2835" s="49" t="s">
        <v>1465</v>
      </c>
      <c r="G2835" s="49" t="s">
        <v>957</v>
      </c>
      <c r="H2835" s="965" t="s">
        <v>1328</v>
      </c>
      <c r="I2835" s="254">
        <v>235</v>
      </c>
      <c r="J2835" s="254">
        <v>8509.8018088535064</v>
      </c>
      <c r="K2835" s="51">
        <f t="shared" si="152"/>
        <v>1999803</v>
      </c>
      <c r="L2835" s="966" t="s">
        <v>172</v>
      </c>
      <c r="M2835" s="966" t="s">
        <v>167</v>
      </c>
      <c r="N2835" s="52" t="str">
        <f>IF(AND('331-CT'!$E$7=TH!H2835,OR(L2835="331",M2835="331")),"331",IF(AND(OR(L2835="131",M2835="131"),H2835='131-CT'!$E$7),"131",""))</f>
        <v/>
      </c>
      <c r="O2835" s="857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65"/>
    </row>
    <row r="2836" spans="1:28" s="900" customFormat="1" ht="15.75" customHeight="1">
      <c r="A2836" s="895" t="str">
        <f>IF(B2836&lt;&gt;"",IF(AND(B2836&gt;=_TM1,B2836&lt;=_TM2,OR(TH!L2836="1111",TH!M2836="1111")),TH!D2836,""),"")</f>
        <v/>
      </c>
      <c r="B2836" s="896">
        <f t="shared" si="150"/>
        <v>2</v>
      </c>
      <c r="C2836" s="897">
        <f t="shared" si="151"/>
        <v>42403</v>
      </c>
      <c r="D2836" s="897" t="s">
        <v>1580</v>
      </c>
      <c r="E2836" s="48">
        <v>42403</v>
      </c>
      <c r="F2836" s="49" t="s">
        <v>1338</v>
      </c>
      <c r="G2836" s="49" t="s">
        <v>957</v>
      </c>
      <c r="H2836" s="965" t="s">
        <v>1328</v>
      </c>
      <c r="I2836" s="254">
        <v>600</v>
      </c>
      <c r="J2836" s="254">
        <v>12681.273283781695</v>
      </c>
      <c r="K2836" s="51">
        <f t="shared" si="152"/>
        <v>7608764</v>
      </c>
      <c r="L2836" s="966" t="s">
        <v>172</v>
      </c>
      <c r="M2836" s="966" t="s">
        <v>167</v>
      </c>
      <c r="N2836" s="52" t="str">
        <f>IF(AND('331-CT'!$E$7=TH!H2836,OR(L2836="331",M2836="331")),"331",IF(AND(OR(L2836="131",M2836="131"),H2836='131-CT'!$E$7),"131",""))</f>
        <v/>
      </c>
      <c r="O2836" s="857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65"/>
    </row>
    <row r="2837" spans="1:28" s="900" customFormat="1" ht="15.75" customHeight="1">
      <c r="A2837" s="895" t="str">
        <f>IF(B2837&lt;&gt;"",IF(AND(B2837&gt;=_TM1,B2837&lt;=_TM2,OR(TH!L2837="1111",TH!M2837="1111")),TH!D2837,""),"")</f>
        <v/>
      </c>
      <c r="B2837" s="896">
        <f t="shared" si="150"/>
        <v>2</v>
      </c>
      <c r="C2837" s="897">
        <f t="shared" si="151"/>
        <v>42403</v>
      </c>
      <c r="D2837" s="897" t="s">
        <v>1580</v>
      </c>
      <c r="E2837" s="48">
        <v>42403</v>
      </c>
      <c r="F2837" s="870" t="s">
        <v>1341</v>
      </c>
      <c r="G2837" s="49" t="s">
        <v>957</v>
      </c>
      <c r="H2837" s="965" t="s">
        <v>1328</v>
      </c>
      <c r="I2837" s="254">
        <v>600</v>
      </c>
      <c r="J2837" s="254">
        <v>9093.8078153434526</v>
      </c>
      <c r="K2837" s="51">
        <f t="shared" si="152"/>
        <v>5456285</v>
      </c>
      <c r="L2837" s="966" t="s">
        <v>172</v>
      </c>
      <c r="M2837" s="966" t="s">
        <v>167</v>
      </c>
      <c r="N2837" s="52" t="str">
        <f>IF(AND('331-CT'!$E$7=TH!H2837,OR(L2837="331",M2837="331")),"331",IF(AND(OR(L2837="131",M2837="131"),H2837='131-CT'!$E$7),"131",""))</f>
        <v/>
      </c>
      <c r="O2837" s="857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65"/>
    </row>
    <row r="2838" spans="1:28" s="900" customFormat="1" ht="15.75" customHeight="1">
      <c r="A2838" s="895" t="str">
        <f>IF(B2838&lt;&gt;"",IF(AND(B2838&gt;=_TM1,B2838&lt;=_TM2,OR(TH!L2838="1111",TH!M2838="1111")),TH!D2838,""),"")</f>
        <v/>
      </c>
      <c r="B2838" s="896">
        <f t="shared" si="150"/>
        <v>2</v>
      </c>
      <c r="C2838" s="897">
        <f t="shared" si="151"/>
        <v>42403</v>
      </c>
      <c r="D2838" s="897" t="s">
        <v>1580</v>
      </c>
      <c r="E2838" s="48">
        <v>42403</v>
      </c>
      <c r="F2838" s="967" t="s">
        <v>1339</v>
      </c>
      <c r="G2838" s="49" t="s">
        <v>957</v>
      </c>
      <c r="H2838" s="965" t="s">
        <v>1328</v>
      </c>
      <c r="I2838" s="254">
        <v>350</v>
      </c>
      <c r="J2838" s="254">
        <v>10094.960969326217</v>
      </c>
      <c r="K2838" s="51">
        <f t="shared" si="152"/>
        <v>3533236</v>
      </c>
      <c r="L2838" s="966" t="s">
        <v>172</v>
      </c>
      <c r="M2838" s="966" t="s">
        <v>167</v>
      </c>
      <c r="N2838" s="52" t="str">
        <f>IF(AND('331-CT'!$E$7=TH!H2838,OR(L2838="331",M2838="331")),"331",IF(AND(OR(L2838="131",M2838="131"),H2838='131-CT'!$E$7),"131",""))</f>
        <v/>
      </c>
      <c r="O2838" s="857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65"/>
    </row>
    <row r="2839" spans="1:28" s="900" customFormat="1" ht="15.75" customHeight="1">
      <c r="A2839" s="895" t="str">
        <f>IF(B2839&lt;&gt;"",IF(AND(B2839&gt;=_TM1,B2839&lt;=_TM2,OR(TH!L2839="1111",TH!M2839="1111")),TH!D2839,""),"")</f>
        <v/>
      </c>
      <c r="B2839" s="896">
        <f t="shared" si="150"/>
        <v>2</v>
      </c>
      <c r="C2839" s="897">
        <f t="shared" si="151"/>
        <v>42403</v>
      </c>
      <c r="D2839" s="897" t="s">
        <v>1580</v>
      </c>
      <c r="E2839" s="48">
        <v>42403</v>
      </c>
      <c r="F2839" s="49" t="s">
        <v>1340</v>
      </c>
      <c r="G2839" s="49" t="s">
        <v>957</v>
      </c>
      <c r="H2839" s="965" t="s">
        <v>1328</v>
      </c>
      <c r="I2839" s="254">
        <v>500</v>
      </c>
      <c r="J2839" s="254">
        <v>11096.114123308984</v>
      </c>
      <c r="K2839" s="51">
        <f t="shared" si="152"/>
        <v>5548057</v>
      </c>
      <c r="L2839" s="966" t="s">
        <v>172</v>
      </c>
      <c r="M2839" s="966" t="s">
        <v>167</v>
      </c>
      <c r="N2839" s="52" t="str">
        <f>IF(AND('331-CT'!$E$7=TH!H2839,OR(L2839="331",M2839="331")),"331",IF(AND(OR(L2839="131",M2839="131"),H2839='131-CT'!$E$7),"131",""))</f>
        <v/>
      </c>
      <c r="O2839" s="857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65"/>
    </row>
    <row r="2840" spans="1:28" s="900" customFormat="1" ht="15.75" customHeight="1">
      <c r="A2840" s="895" t="str">
        <f>IF(B2840&lt;&gt;"",IF(AND(B2840&gt;=_TM1,B2840&lt;=_TM2,OR(TH!L2840="1111",TH!M2840="1111")),TH!D2840,""),"")</f>
        <v/>
      </c>
      <c r="B2840" s="896">
        <f t="shared" si="150"/>
        <v>2</v>
      </c>
      <c r="C2840" s="897">
        <f t="shared" si="151"/>
        <v>42403</v>
      </c>
      <c r="D2840" s="897" t="s">
        <v>1580</v>
      </c>
      <c r="E2840" s="48">
        <v>42403</v>
      </c>
      <c r="F2840" s="49" t="s">
        <v>1467</v>
      </c>
      <c r="G2840" s="49" t="s">
        <v>957</v>
      </c>
      <c r="H2840" s="965" t="s">
        <v>1328</v>
      </c>
      <c r="I2840" s="254">
        <v>500</v>
      </c>
      <c r="J2840" s="254">
        <v>17436.750765199831</v>
      </c>
      <c r="K2840" s="51">
        <f t="shared" si="152"/>
        <v>8718375</v>
      </c>
      <c r="L2840" s="966" t="s">
        <v>172</v>
      </c>
      <c r="M2840" s="966" t="s">
        <v>167</v>
      </c>
      <c r="N2840" s="52" t="str">
        <f>IF(AND('331-CT'!$E$7=TH!H2840,OR(L2840="331",M2840="331")),"331",IF(AND(OR(L2840="131",M2840="131"),H2840='131-CT'!$E$7),"131",""))</f>
        <v/>
      </c>
      <c r="O2840" s="857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65"/>
    </row>
    <row r="2841" spans="1:28" s="900" customFormat="1" ht="15.75" customHeight="1">
      <c r="A2841" s="895" t="str">
        <f>IF(B2841&lt;&gt;"",IF(AND(B2841&gt;=_TM1,B2841&lt;=_TM2,OR(TH!L2841="1111",TH!M2841="1111")),TH!D2841,""),"")</f>
        <v/>
      </c>
      <c r="B2841" s="896">
        <f t="shared" si="150"/>
        <v>2</v>
      </c>
      <c r="C2841" s="897">
        <f t="shared" si="151"/>
        <v>42418</v>
      </c>
      <c r="D2841" s="897" t="s">
        <v>1580</v>
      </c>
      <c r="E2841" s="869">
        <v>42418</v>
      </c>
      <c r="F2841" s="870" t="s">
        <v>419</v>
      </c>
      <c r="G2841" s="871" t="s">
        <v>456</v>
      </c>
      <c r="H2841" s="965" t="s">
        <v>1328</v>
      </c>
      <c r="I2841" s="254">
        <v>421</v>
      </c>
      <c r="J2841" s="254">
        <v>6841.2132188822297</v>
      </c>
      <c r="K2841" s="51">
        <f t="shared" si="152"/>
        <v>2880151</v>
      </c>
      <c r="L2841" s="966" t="s">
        <v>172</v>
      </c>
      <c r="M2841" s="966" t="s">
        <v>167</v>
      </c>
      <c r="N2841" s="52" t="str">
        <f>IF(AND('331-CT'!$E$7=TH!H2841,OR(L2841="331",M2841="331")),"331",IF(AND(OR(L2841="131",M2841="131"),H2841='131-CT'!$E$7),"131",""))</f>
        <v/>
      </c>
      <c r="O2841" s="857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65"/>
    </row>
    <row r="2842" spans="1:28" s="900" customFormat="1" ht="15.75" customHeight="1">
      <c r="A2842" s="895" t="str">
        <f>IF(B2842&lt;&gt;"",IF(AND(B2842&gt;=_TM1,B2842&lt;=_TM2,OR(TH!L2842="1111",TH!M2842="1111")),TH!D2842,""),"")</f>
        <v/>
      </c>
      <c r="B2842" s="896">
        <f t="shared" si="150"/>
        <v>2</v>
      </c>
      <c r="C2842" s="897">
        <f t="shared" si="151"/>
        <v>42418</v>
      </c>
      <c r="D2842" s="897" t="s">
        <v>1580</v>
      </c>
      <c r="E2842" s="869">
        <v>42418</v>
      </c>
      <c r="F2842" s="870" t="s">
        <v>958</v>
      </c>
      <c r="G2842" s="871" t="s">
        <v>456</v>
      </c>
      <c r="H2842" s="965" t="s">
        <v>1328</v>
      </c>
      <c r="I2842" s="254">
        <v>596</v>
      </c>
      <c r="J2842" s="254">
        <v>7675.5075138678685</v>
      </c>
      <c r="K2842" s="51">
        <f t="shared" si="152"/>
        <v>4574602</v>
      </c>
      <c r="L2842" s="966" t="s">
        <v>172</v>
      </c>
      <c r="M2842" s="966" t="s">
        <v>167</v>
      </c>
      <c r="N2842" s="52" t="str">
        <f>IF(AND('331-CT'!$E$7=TH!H2842,OR(L2842="331",M2842="331")),"331",IF(AND(OR(L2842="131",M2842="131"),H2842='131-CT'!$E$7),"131",""))</f>
        <v/>
      </c>
      <c r="O2842" s="857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65"/>
    </row>
    <row r="2843" spans="1:28" s="900" customFormat="1" ht="15.75" customHeight="1">
      <c r="A2843" s="895" t="str">
        <f>IF(B2843&lt;&gt;"",IF(AND(B2843&gt;=_TM1,B2843&lt;=_TM2,OR(TH!L2843="1111",TH!M2843="1111")),TH!D2843,""),"")</f>
        <v/>
      </c>
      <c r="B2843" s="896">
        <f t="shared" si="150"/>
        <v>2</v>
      </c>
      <c r="C2843" s="897">
        <f t="shared" si="151"/>
        <v>42418</v>
      </c>
      <c r="D2843" s="897" t="s">
        <v>1580</v>
      </c>
      <c r="E2843" s="869">
        <v>42418</v>
      </c>
      <c r="F2843" s="870" t="s">
        <v>656</v>
      </c>
      <c r="G2843" s="871" t="s">
        <v>456</v>
      </c>
      <c r="H2843" s="965" t="s">
        <v>1328</v>
      </c>
      <c r="I2843" s="254">
        <v>309</v>
      </c>
      <c r="J2843" s="254">
        <v>12347.555565787441</v>
      </c>
      <c r="K2843" s="51">
        <f t="shared" si="152"/>
        <v>3815395</v>
      </c>
      <c r="L2843" s="966" t="s">
        <v>172</v>
      </c>
      <c r="M2843" s="966" t="s">
        <v>167</v>
      </c>
      <c r="N2843" s="52" t="str">
        <f>IF(AND('331-CT'!$E$7=TH!H2843,OR(L2843="331",M2843="331")),"331",IF(AND(OR(L2843="131",M2843="131"),H2843='131-CT'!$E$7),"131",""))</f>
        <v/>
      </c>
      <c r="O2843" s="857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65"/>
    </row>
    <row r="2844" spans="1:28" s="900" customFormat="1" ht="15.75" customHeight="1">
      <c r="A2844" s="895" t="str">
        <f>IF(B2844&lt;&gt;"",IF(AND(B2844&gt;=_TM1,B2844&lt;=_TM2,OR(TH!L2844="1111",TH!M2844="1111")),TH!D2844,""),"")</f>
        <v/>
      </c>
      <c r="B2844" s="896">
        <f t="shared" si="150"/>
        <v>2</v>
      </c>
      <c r="C2844" s="897">
        <f t="shared" si="151"/>
        <v>42420</v>
      </c>
      <c r="D2844" s="897" t="s">
        <v>1580</v>
      </c>
      <c r="E2844" s="869">
        <v>42420</v>
      </c>
      <c r="F2844" s="870" t="s">
        <v>426</v>
      </c>
      <c r="G2844" s="871" t="s">
        <v>457</v>
      </c>
      <c r="H2844" s="965" t="s">
        <v>1328</v>
      </c>
      <c r="I2844" s="254">
        <v>2259</v>
      </c>
      <c r="J2844" s="254">
        <v>6173.7777828937205</v>
      </c>
      <c r="K2844" s="51">
        <f t="shared" si="152"/>
        <v>13946564</v>
      </c>
      <c r="L2844" s="966" t="s">
        <v>172</v>
      </c>
      <c r="M2844" s="966" t="s">
        <v>167</v>
      </c>
      <c r="N2844" s="52" t="str">
        <f>IF(AND('331-CT'!$E$7=TH!H2844,OR(L2844="331",M2844="331")),"331",IF(AND(OR(L2844="131",M2844="131"),H2844='131-CT'!$E$7),"131",""))</f>
        <v/>
      </c>
      <c r="O2844" s="857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65"/>
    </row>
    <row r="2845" spans="1:28" s="900" customFormat="1" ht="15.75" customHeight="1">
      <c r="A2845" s="895" t="str">
        <f>IF(B2845&lt;&gt;"",IF(AND(B2845&gt;=_TM1,B2845&lt;=_TM2,OR(TH!L2845="1111",TH!M2845="1111")),TH!D2845,""),"")</f>
        <v/>
      </c>
      <c r="B2845" s="896">
        <f t="shared" si="150"/>
        <v>2</v>
      </c>
      <c r="C2845" s="897">
        <f t="shared" si="151"/>
        <v>42422</v>
      </c>
      <c r="D2845" s="897" t="s">
        <v>1580</v>
      </c>
      <c r="E2845" s="869">
        <v>42422</v>
      </c>
      <c r="F2845" s="870" t="s">
        <v>993</v>
      </c>
      <c r="G2845" s="871" t="s">
        <v>460</v>
      </c>
      <c r="H2845" s="965" t="s">
        <v>1328</v>
      </c>
      <c r="I2845" s="254">
        <v>349</v>
      </c>
      <c r="J2845" s="254">
        <v>19856.204220658179</v>
      </c>
      <c r="K2845" s="51">
        <f t="shared" si="152"/>
        <v>6929815</v>
      </c>
      <c r="L2845" s="966" t="s">
        <v>172</v>
      </c>
      <c r="M2845" s="966" t="s">
        <v>167</v>
      </c>
      <c r="N2845" s="52" t="str">
        <f>IF(AND('331-CT'!$E$7=TH!H2845,OR(L2845="331",M2845="331")),"331",IF(AND(OR(L2845="131",M2845="131"),H2845='131-CT'!$E$7),"131",""))</f>
        <v/>
      </c>
      <c r="O2845" s="857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65"/>
    </row>
    <row r="2846" spans="1:28" s="900" customFormat="1" ht="15.75" customHeight="1">
      <c r="A2846" s="895" t="str">
        <f>IF(B2846&lt;&gt;"",IF(AND(B2846&gt;=_TM1,B2846&lt;=_TM2,OR(TH!L2846="1111",TH!M2846="1111")),TH!D2846,""),"")</f>
        <v/>
      </c>
      <c r="B2846" s="896">
        <f t="shared" si="150"/>
        <v>2</v>
      </c>
      <c r="C2846" s="897">
        <f t="shared" si="151"/>
        <v>42422</v>
      </c>
      <c r="D2846" s="897" t="s">
        <v>1580</v>
      </c>
      <c r="E2846" s="869">
        <v>42422</v>
      </c>
      <c r="F2846" s="870" t="s">
        <v>627</v>
      </c>
      <c r="G2846" s="871" t="s">
        <v>460</v>
      </c>
      <c r="H2846" s="965" t="s">
        <v>1328</v>
      </c>
      <c r="I2846" s="254">
        <v>205</v>
      </c>
      <c r="J2846" s="254">
        <v>8092.654661360687</v>
      </c>
      <c r="K2846" s="51">
        <f t="shared" si="152"/>
        <v>1658994</v>
      </c>
      <c r="L2846" s="966" t="s">
        <v>172</v>
      </c>
      <c r="M2846" s="966" t="s">
        <v>167</v>
      </c>
      <c r="N2846" s="52" t="str">
        <f>IF(AND('331-CT'!$E$7=TH!H2846,OR(L2846="331",M2846="331")),"331",IF(AND(OR(L2846="131",M2846="131"),H2846='131-CT'!$E$7),"131",""))</f>
        <v/>
      </c>
      <c r="O2846" s="857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65"/>
    </row>
    <row r="2847" spans="1:28" s="900" customFormat="1" ht="15.75" customHeight="1">
      <c r="A2847" s="895" t="str">
        <f>IF(B2847&lt;&gt;"",IF(AND(B2847&gt;=_TM1,B2847&lt;=_TM2,OR(TH!L2847="1111",TH!M2847="1111")),TH!D2847,""),"")</f>
        <v/>
      </c>
      <c r="B2847" s="896">
        <f t="shared" si="150"/>
        <v>2</v>
      </c>
      <c r="C2847" s="897">
        <f t="shared" si="151"/>
        <v>42422</v>
      </c>
      <c r="D2847" s="897" t="s">
        <v>1580</v>
      </c>
      <c r="E2847" s="869">
        <v>42422</v>
      </c>
      <c r="F2847" s="870" t="s">
        <v>486</v>
      </c>
      <c r="G2847" s="871" t="s">
        <v>460</v>
      </c>
      <c r="H2847" s="965" t="s">
        <v>1328</v>
      </c>
      <c r="I2847" s="254">
        <v>407</v>
      </c>
      <c r="J2847" s="254">
        <v>7842.3663728649954</v>
      </c>
      <c r="K2847" s="51">
        <f t="shared" si="152"/>
        <v>3191843</v>
      </c>
      <c r="L2847" s="966" t="s">
        <v>172</v>
      </c>
      <c r="M2847" s="966" t="s">
        <v>167</v>
      </c>
      <c r="N2847" s="52" t="str">
        <f>IF(AND('331-CT'!$E$7=TH!H2847,OR(L2847="331",M2847="331")),"331",IF(AND(OR(L2847="131",M2847="131"),H2847='131-CT'!$E$7),"131",""))</f>
        <v/>
      </c>
      <c r="O2847" s="857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65"/>
    </row>
    <row r="2848" spans="1:28" s="900" customFormat="1" ht="15.75" customHeight="1">
      <c r="A2848" s="895" t="str">
        <f>IF(B2848&lt;&gt;"",IF(AND(B2848&gt;=_TM1,B2848&lt;=_TM2,OR(TH!L2848="1111",TH!M2848="1111")),TH!D2848,""),"")</f>
        <v/>
      </c>
      <c r="B2848" s="896">
        <f t="shared" si="150"/>
        <v>2</v>
      </c>
      <c r="C2848" s="897">
        <f t="shared" si="151"/>
        <v>42422</v>
      </c>
      <c r="D2848" s="897" t="s">
        <v>1580</v>
      </c>
      <c r="E2848" s="869">
        <v>42422</v>
      </c>
      <c r="F2848" s="870" t="s">
        <v>507</v>
      </c>
      <c r="G2848" s="871" t="s">
        <v>460</v>
      </c>
      <c r="H2848" s="965" t="s">
        <v>1328</v>
      </c>
      <c r="I2848" s="254">
        <v>105</v>
      </c>
      <c r="J2848" s="254">
        <v>7758.9369433664324</v>
      </c>
      <c r="K2848" s="51">
        <f t="shared" si="152"/>
        <v>814688</v>
      </c>
      <c r="L2848" s="966" t="s">
        <v>172</v>
      </c>
      <c r="M2848" s="966" t="s">
        <v>167</v>
      </c>
      <c r="N2848" s="52" t="str">
        <f>IF(AND('331-CT'!$E$7=TH!H2848,OR(L2848="331",M2848="331")),"331",IF(AND(OR(L2848="131",M2848="131"),H2848='131-CT'!$E$7),"131",""))</f>
        <v/>
      </c>
      <c r="O2848" s="857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65"/>
    </row>
    <row r="2849" spans="1:28" s="900" customFormat="1" ht="15.75" customHeight="1">
      <c r="A2849" s="895" t="str">
        <f>IF(B2849&lt;&gt;"",IF(AND(B2849&gt;=_TM1,B2849&lt;=_TM2,OR(TH!L2849="1111",TH!M2849="1111")),TH!D2849,""),"")</f>
        <v/>
      </c>
      <c r="B2849" s="896">
        <f t="shared" si="150"/>
        <v>2</v>
      </c>
      <c r="C2849" s="897">
        <f t="shared" si="151"/>
        <v>42423</v>
      </c>
      <c r="D2849" s="897" t="s">
        <v>1580</v>
      </c>
      <c r="E2849" s="869">
        <v>42423</v>
      </c>
      <c r="F2849" s="870" t="s">
        <v>959</v>
      </c>
      <c r="G2849" s="871" t="s">
        <v>461</v>
      </c>
      <c r="H2849" s="965" t="s">
        <v>1328</v>
      </c>
      <c r="I2849" s="254">
        <v>500</v>
      </c>
      <c r="J2849" s="254">
        <v>11096.114123308984</v>
      </c>
      <c r="K2849" s="51">
        <f t="shared" si="152"/>
        <v>5548057</v>
      </c>
      <c r="L2849" s="966" t="s">
        <v>172</v>
      </c>
      <c r="M2849" s="966" t="s">
        <v>167</v>
      </c>
      <c r="N2849" s="52" t="str">
        <f>IF(AND('331-CT'!$E$7=TH!H2849,OR(L2849="331",M2849="331")),"331",IF(AND(OR(L2849="131",M2849="131"),H2849='131-CT'!$E$7),"131",""))</f>
        <v/>
      </c>
      <c r="O2849" s="857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65"/>
    </row>
    <row r="2850" spans="1:28" s="900" customFormat="1" ht="15.75" customHeight="1">
      <c r="A2850" s="895" t="str">
        <f>IF(B2850&lt;&gt;"",IF(AND(B2850&gt;=_TM1,B2850&lt;=_TM2,OR(TH!L2850="1111",TH!M2850="1111")),TH!D2850,""),"")</f>
        <v/>
      </c>
      <c r="B2850" s="896">
        <f t="shared" si="150"/>
        <v>2</v>
      </c>
      <c r="C2850" s="897">
        <f t="shared" si="151"/>
        <v>42423</v>
      </c>
      <c r="D2850" s="897" t="s">
        <v>1580</v>
      </c>
      <c r="E2850" s="48">
        <v>42423</v>
      </c>
      <c r="F2850" s="49" t="s">
        <v>445</v>
      </c>
      <c r="G2850" s="49" t="s">
        <v>462</v>
      </c>
      <c r="H2850" s="965" t="s">
        <v>1328</v>
      </c>
      <c r="I2850" s="254">
        <v>102</v>
      </c>
      <c r="J2850" s="254">
        <v>11179.543552807549</v>
      </c>
      <c r="K2850" s="51">
        <f t="shared" si="152"/>
        <v>1140313</v>
      </c>
      <c r="L2850" s="966" t="s">
        <v>172</v>
      </c>
      <c r="M2850" s="966" t="s">
        <v>167</v>
      </c>
      <c r="N2850" s="52" t="str">
        <f>IF(AND('331-CT'!$E$7=TH!H2850,OR(L2850="331",M2850="331")),"331",IF(AND(OR(L2850="131",M2850="131"),H2850='131-CT'!$E$7),"131",""))</f>
        <v/>
      </c>
      <c r="O2850" s="857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65"/>
    </row>
    <row r="2851" spans="1:28" s="900" customFormat="1" ht="15.75" customHeight="1">
      <c r="A2851" s="895" t="str">
        <f>IF(B2851&lt;&gt;"",IF(AND(B2851&gt;=_TM1,B2851&lt;=_TM2,OR(TH!L2851="1111",TH!M2851="1111")),TH!D2851,""),"")</f>
        <v/>
      </c>
      <c r="B2851" s="896">
        <f t="shared" si="150"/>
        <v>2</v>
      </c>
      <c r="C2851" s="897">
        <f t="shared" si="151"/>
        <v>42423</v>
      </c>
      <c r="D2851" s="897" t="s">
        <v>1580</v>
      </c>
      <c r="E2851" s="48">
        <v>42423</v>
      </c>
      <c r="F2851" s="49" t="s">
        <v>1466</v>
      </c>
      <c r="G2851" s="49" t="s">
        <v>463</v>
      </c>
      <c r="H2851" s="965" t="s">
        <v>1328</v>
      </c>
      <c r="I2851" s="254">
        <v>1509</v>
      </c>
      <c r="J2851" s="254">
        <v>9761.2432513319618</v>
      </c>
      <c r="K2851" s="51">
        <f t="shared" si="152"/>
        <v>14729716</v>
      </c>
      <c r="L2851" s="966" t="s">
        <v>172</v>
      </c>
      <c r="M2851" s="966" t="s">
        <v>167</v>
      </c>
      <c r="N2851" s="52" t="str">
        <f>IF(AND('331-CT'!$E$7=TH!H2851,OR(L2851="331",M2851="331")),"331",IF(AND(OR(L2851="131",M2851="131"),H2851='131-CT'!$E$7),"131",""))</f>
        <v/>
      </c>
      <c r="O2851" s="857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65"/>
    </row>
    <row r="2852" spans="1:28" s="900" customFormat="1" ht="15.75" customHeight="1">
      <c r="A2852" s="895" t="str">
        <f>IF(B2852&lt;&gt;"",IF(AND(B2852&gt;=_TM1,B2852&lt;=_TM2,OR(TH!L2852="1111",TH!M2852="1111")),TH!D2852,""),"")</f>
        <v/>
      </c>
      <c r="B2852" s="896">
        <f t="shared" si="150"/>
        <v>2</v>
      </c>
      <c r="C2852" s="897">
        <f t="shared" si="151"/>
        <v>42423</v>
      </c>
      <c r="D2852" s="897" t="s">
        <v>1580</v>
      </c>
      <c r="E2852" s="48">
        <v>42423</v>
      </c>
      <c r="F2852" s="49" t="s">
        <v>1337</v>
      </c>
      <c r="G2852" s="49" t="s">
        <v>463</v>
      </c>
      <c r="H2852" s="965" t="s">
        <v>1328</v>
      </c>
      <c r="I2852" s="254">
        <v>783</v>
      </c>
      <c r="J2852" s="254">
        <v>10345.24925782191</v>
      </c>
      <c r="K2852" s="51">
        <f t="shared" si="152"/>
        <v>8100330</v>
      </c>
      <c r="L2852" s="966" t="s">
        <v>172</v>
      </c>
      <c r="M2852" s="966" t="s">
        <v>167</v>
      </c>
      <c r="N2852" s="52" t="str">
        <f>IF(AND('331-CT'!$E$7=TH!H2852,OR(L2852="331",M2852="331")),"331",IF(AND(OR(L2852="131",M2852="131"),H2852='131-CT'!$E$7),"131",""))</f>
        <v/>
      </c>
      <c r="O2852" s="857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65"/>
    </row>
    <row r="2853" spans="1:28" s="900" customFormat="1" ht="15.75" customHeight="1">
      <c r="A2853" s="895" t="str">
        <f>IF(B2853&lt;&gt;"",IF(AND(B2853&gt;=_TM1,B2853&lt;=_TM2,OR(TH!L2853="1111",TH!M2853="1111")),TH!D2853,""),"")</f>
        <v/>
      </c>
      <c r="B2853" s="896">
        <f t="shared" si="150"/>
        <v>2</v>
      </c>
      <c r="C2853" s="897">
        <f t="shared" si="151"/>
        <v>42423</v>
      </c>
      <c r="D2853" s="897" t="s">
        <v>1580</v>
      </c>
      <c r="E2853" s="48">
        <v>42423</v>
      </c>
      <c r="F2853" s="870" t="s">
        <v>675</v>
      </c>
      <c r="G2853" s="49" t="s">
        <v>464</v>
      </c>
      <c r="H2853" s="965" t="s">
        <v>1328</v>
      </c>
      <c r="I2853" s="254">
        <v>1000</v>
      </c>
      <c r="J2853" s="254">
        <v>9510.9549628362711</v>
      </c>
      <c r="K2853" s="51">
        <f t="shared" si="152"/>
        <v>9510955</v>
      </c>
      <c r="L2853" s="966" t="s">
        <v>172</v>
      </c>
      <c r="M2853" s="966" t="s">
        <v>167</v>
      </c>
      <c r="N2853" s="52" t="str">
        <f>IF(AND('331-CT'!$E$7=TH!H2853,OR(L2853="331",M2853="331")),"331",IF(AND(OR(L2853="131",M2853="131"),H2853='131-CT'!$E$7),"131",""))</f>
        <v/>
      </c>
      <c r="O2853" s="857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65"/>
    </row>
    <row r="2854" spans="1:28" s="900" customFormat="1" ht="15.75" customHeight="1">
      <c r="A2854" s="895" t="str">
        <f>IF(B2854&lt;&gt;"",IF(AND(B2854&gt;=_TM1,B2854&lt;=_TM2,OR(TH!L2854="1111",TH!M2854="1111")),TH!D2854,""),"")</f>
        <v/>
      </c>
      <c r="B2854" s="896">
        <f t="shared" si="150"/>
        <v>2</v>
      </c>
      <c r="C2854" s="897">
        <f t="shared" si="151"/>
        <v>42423</v>
      </c>
      <c r="D2854" s="897" t="s">
        <v>1580</v>
      </c>
      <c r="E2854" s="48">
        <v>42423</v>
      </c>
      <c r="F2854" s="49" t="s">
        <v>675</v>
      </c>
      <c r="G2854" s="49" t="s">
        <v>464</v>
      </c>
      <c r="H2854" s="965" t="s">
        <v>1328</v>
      </c>
      <c r="I2854" s="254">
        <v>50</v>
      </c>
      <c r="J2854" s="254">
        <v>9510.9549628362711</v>
      </c>
      <c r="K2854" s="51">
        <f t="shared" si="152"/>
        <v>475548</v>
      </c>
      <c r="L2854" s="966" t="s">
        <v>172</v>
      </c>
      <c r="M2854" s="966" t="s">
        <v>167</v>
      </c>
      <c r="N2854" s="52" t="str">
        <f>IF(AND('331-CT'!$E$7=TH!H2854,OR(L2854="331",M2854="331")),"331",IF(AND(OR(L2854="131",M2854="131"),H2854='131-CT'!$E$7),"131",""))</f>
        <v/>
      </c>
      <c r="O2854" s="857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65"/>
    </row>
    <row r="2855" spans="1:28" s="900" customFormat="1" ht="15.75" customHeight="1">
      <c r="A2855" s="895" t="str">
        <f>IF(B2855&lt;&gt;"",IF(AND(B2855&gt;=_TM1,B2855&lt;=_TM2,OR(TH!L2855="1111",TH!M2855="1111")),TH!D2855,""),"")</f>
        <v/>
      </c>
      <c r="B2855" s="896">
        <f t="shared" si="150"/>
        <v>2</v>
      </c>
      <c r="C2855" s="897">
        <f t="shared" si="151"/>
        <v>42423</v>
      </c>
      <c r="D2855" s="897" t="s">
        <v>1580</v>
      </c>
      <c r="E2855" s="48">
        <v>42423</v>
      </c>
      <c r="F2855" s="49" t="s">
        <v>723</v>
      </c>
      <c r="G2855" s="49" t="s">
        <v>464</v>
      </c>
      <c r="H2855" s="965" t="s">
        <v>1328</v>
      </c>
      <c r="I2855" s="254">
        <v>2100</v>
      </c>
      <c r="J2855" s="254">
        <v>750.8648654870741</v>
      </c>
      <c r="K2855" s="51">
        <f t="shared" si="152"/>
        <v>1576816</v>
      </c>
      <c r="L2855" s="966" t="s">
        <v>172</v>
      </c>
      <c r="M2855" s="966" t="s">
        <v>167</v>
      </c>
      <c r="N2855" s="52" t="str">
        <f>IF(AND('331-CT'!$E$7=TH!H2855,OR(L2855="331",M2855="331")),"331",IF(AND(OR(L2855="131",M2855="131"),H2855='131-CT'!$E$7),"131",""))</f>
        <v/>
      </c>
      <c r="O2855" s="857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65"/>
    </row>
    <row r="2856" spans="1:28" s="900" customFormat="1" ht="15.75" customHeight="1">
      <c r="A2856" s="895" t="str">
        <f>IF(B2856&lt;&gt;"",IF(AND(B2856&gt;=_TM1,B2856&lt;=_TM2,OR(TH!L2856="1111",TH!M2856="1111")),TH!D2856,""),"")</f>
        <v/>
      </c>
      <c r="B2856" s="896">
        <f t="shared" si="150"/>
        <v>2</v>
      </c>
      <c r="C2856" s="897">
        <f t="shared" si="151"/>
        <v>42424</v>
      </c>
      <c r="D2856" s="897" t="s">
        <v>1580</v>
      </c>
      <c r="E2856" s="48">
        <v>42424</v>
      </c>
      <c r="F2856" s="49" t="s">
        <v>960</v>
      </c>
      <c r="G2856" s="49" t="s">
        <v>465</v>
      </c>
      <c r="H2856" s="965" t="s">
        <v>1328</v>
      </c>
      <c r="I2856" s="254">
        <v>500</v>
      </c>
      <c r="J2856" s="254">
        <v>17603.609624196957</v>
      </c>
      <c r="K2856" s="51">
        <f t="shared" si="152"/>
        <v>8801805</v>
      </c>
      <c r="L2856" s="966" t="s">
        <v>172</v>
      </c>
      <c r="M2856" s="966" t="s">
        <v>167</v>
      </c>
      <c r="N2856" s="52" t="str">
        <f>IF(AND('331-CT'!$E$7=TH!H2856,OR(L2856="331",M2856="331")),"331",IF(AND(OR(L2856="131",M2856="131"),H2856='131-CT'!$E$7),"131",""))</f>
        <v/>
      </c>
      <c r="O2856" s="857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65"/>
    </row>
    <row r="2857" spans="1:28" s="900" customFormat="1" ht="15.75" customHeight="1">
      <c r="A2857" s="895" t="str">
        <f>IF(B2857&lt;&gt;"",IF(AND(B2857&gt;=_TM1,B2857&lt;=_TM2,OR(TH!L2857="1111",TH!M2857="1111")),TH!D2857,""),"")</f>
        <v/>
      </c>
      <c r="B2857" s="896">
        <f t="shared" si="150"/>
        <v>2</v>
      </c>
      <c r="C2857" s="897">
        <f t="shared" si="151"/>
        <v>42424</v>
      </c>
      <c r="D2857" s="897" t="s">
        <v>1580</v>
      </c>
      <c r="E2857" s="48">
        <v>42424</v>
      </c>
      <c r="F2857" s="49" t="s">
        <v>658</v>
      </c>
      <c r="G2857" s="49" t="s">
        <v>467</v>
      </c>
      <c r="H2857" s="965" t="s">
        <v>1328</v>
      </c>
      <c r="I2857" s="254">
        <v>61</v>
      </c>
      <c r="J2857" s="254">
        <v>23693.957977592116</v>
      </c>
      <c r="K2857" s="51">
        <f t="shared" si="152"/>
        <v>1445331</v>
      </c>
      <c r="L2857" s="966" t="s">
        <v>172</v>
      </c>
      <c r="M2857" s="966" t="s">
        <v>167</v>
      </c>
      <c r="N2857" s="52" t="str">
        <f>IF(AND('331-CT'!$E$7=TH!H2857,OR(L2857="331",M2857="331")),"331",IF(AND(OR(L2857="131",M2857="131"),H2857='131-CT'!$E$7),"131",""))</f>
        <v/>
      </c>
      <c r="O2857" s="857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65"/>
    </row>
    <row r="2858" spans="1:28" s="900" customFormat="1" ht="15.75" customHeight="1">
      <c r="A2858" s="895" t="str">
        <f>IF(B2858&lt;&gt;"",IF(AND(B2858&gt;=_TM1,B2858&lt;=_TM2,OR(TH!L2858="1111",TH!M2858="1111")),TH!D2858,""),"")</f>
        <v/>
      </c>
      <c r="B2858" s="896">
        <f t="shared" si="150"/>
        <v>2</v>
      </c>
      <c r="C2858" s="897">
        <f t="shared" si="151"/>
        <v>42424</v>
      </c>
      <c r="D2858" s="897" t="s">
        <v>1580</v>
      </c>
      <c r="E2858" s="48">
        <v>42424</v>
      </c>
      <c r="F2858" s="49" t="s">
        <v>448</v>
      </c>
      <c r="G2858" s="49" t="s">
        <v>467</v>
      </c>
      <c r="H2858" s="965" t="s">
        <v>1328</v>
      </c>
      <c r="I2858" s="254">
        <v>147</v>
      </c>
      <c r="J2858" s="254">
        <v>60486.336386458745</v>
      </c>
      <c r="K2858" s="51">
        <f t="shared" si="152"/>
        <v>8891491</v>
      </c>
      <c r="L2858" s="966" t="s">
        <v>172</v>
      </c>
      <c r="M2858" s="966" t="s">
        <v>167</v>
      </c>
      <c r="N2858" s="52" t="str">
        <f>IF(AND('331-CT'!$E$7=TH!H2858,OR(L2858="331",M2858="331")),"331",IF(AND(OR(L2858="131",M2858="131"),H2858='131-CT'!$E$7),"131",""))</f>
        <v/>
      </c>
      <c r="O2858" s="857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65"/>
    </row>
    <row r="2859" spans="1:28" s="900" customFormat="1" ht="15.75" customHeight="1">
      <c r="A2859" s="895" t="str">
        <f>IF(B2859&lt;&gt;"",IF(AND(B2859&gt;=_TM1,B2859&lt;=_TM2,OR(TH!L2859="1111",TH!M2859="1111")),TH!D2859,""),"")</f>
        <v/>
      </c>
      <c r="B2859" s="896">
        <f t="shared" si="150"/>
        <v>2</v>
      </c>
      <c r="C2859" s="897">
        <f t="shared" si="151"/>
        <v>42424</v>
      </c>
      <c r="D2859" s="897" t="s">
        <v>1580</v>
      </c>
      <c r="E2859" s="48">
        <v>42424</v>
      </c>
      <c r="F2859" s="49" t="s">
        <v>943</v>
      </c>
      <c r="G2859" s="49" t="s">
        <v>467</v>
      </c>
      <c r="H2859" s="965" t="s">
        <v>1328</v>
      </c>
      <c r="I2859" s="254">
        <v>51</v>
      </c>
      <c r="J2859" s="254">
        <v>63072.648700914222</v>
      </c>
      <c r="K2859" s="51">
        <f t="shared" si="152"/>
        <v>3216705</v>
      </c>
      <c r="L2859" s="966" t="s">
        <v>172</v>
      </c>
      <c r="M2859" s="966" t="s">
        <v>167</v>
      </c>
      <c r="N2859" s="52" t="str">
        <f>IF(AND('331-CT'!$E$7=TH!H2859,OR(L2859="331",M2859="331")),"331",IF(AND(OR(L2859="131",M2859="131"),H2859='131-CT'!$E$7),"131",""))</f>
        <v/>
      </c>
      <c r="O2859" s="857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65"/>
    </row>
    <row r="2860" spans="1:28" s="900" customFormat="1" ht="15.75" customHeight="1">
      <c r="A2860" s="895" t="str">
        <f>IF(B2860&lt;&gt;"",IF(AND(B2860&gt;=_TM1,B2860&lt;=_TM2,OR(TH!L2860="1111",TH!M2860="1111")),TH!D2860,""),"")</f>
        <v/>
      </c>
      <c r="B2860" s="896">
        <f t="shared" si="150"/>
        <v>2</v>
      </c>
      <c r="C2860" s="897">
        <f t="shared" si="151"/>
        <v>42424</v>
      </c>
      <c r="D2860" s="897" t="s">
        <v>1580</v>
      </c>
      <c r="E2860" s="869">
        <v>42424</v>
      </c>
      <c r="F2860" s="870" t="s">
        <v>546</v>
      </c>
      <c r="G2860" s="871" t="s">
        <v>469</v>
      </c>
      <c r="H2860" s="965" t="s">
        <v>1328</v>
      </c>
      <c r="I2860" s="254">
        <v>200</v>
      </c>
      <c r="J2860" s="254">
        <v>10929.255264311856</v>
      </c>
      <c r="K2860" s="51">
        <f t="shared" si="152"/>
        <v>2185851</v>
      </c>
      <c r="L2860" s="966" t="s">
        <v>172</v>
      </c>
      <c r="M2860" s="966" t="s">
        <v>167</v>
      </c>
      <c r="N2860" s="52" t="str">
        <f>IF(AND('331-CT'!$E$7=TH!H2860,OR(L2860="331",M2860="331")),"331",IF(AND(OR(L2860="131",M2860="131"),H2860='131-CT'!$E$7),"131",""))</f>
        <v/>
      </c>
      <c r="O2860" s="857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65"/>
    </row>
    <row r="2861" spans="1:28" s="900" customFormat="1" ht="15.75" customHeight="1">
      <c r="A2861" s="895" t="str">
        <f>IF(B2861&lt;&gt;"",IF(AND(B2861&gt;=_TM1,B2861&lt;=_TM2,OR(TH!L2861="1111",TH!M2861="1111")),TH!D2861,""),"")</f>
        <v/>
      </c>
      <c r="B2861" s="896">
        <f t="shared" si="150"/>
        <v>2</v>
      </c>
      <c r="C2861" s="897">
        <f t="shared" si="151"/>
        <v>42424</v>
      </c>
      <c r="D2861" s="897" t="s">
        <v>1580</v>
      </c>
      <c r="E2861" s="869">
        <v>42424</v>
      </c>
      <c r="F2861" s="870" t="s">
        <v>1260</v>
      </c>
      <c r="G2861" s="871" t="s">
        <v>469</v>
      </c>
      <c r="H2861" s="965" t="s">
        <v>1328</v>
      </c>
      <c r="I2861" s="254">
        <v>40</v>
      </c>
      <c r="J2861" s="254">
        <v>12764.70271328026</v>
      </c>
      <c r="K2861" s="51">
        <f t="shared" si="152"/>
        <v>510588</v>
      </c>
      <c r="L2861" s="966" t="s">
        <v>172</v>
      </c>
      <c r="M2861" s="966" t="s">
        <v>167</v>
      </c>
      <c r="N2861" s="52" t="str">
        <f>IF(AND('331-CT'!$E$7=TH!H2861,OR(L2861="331",M2861="331")),"331",IF(AND(OR(L2861="131",M2861="131"),H2861='131-CT'!$E$7),"131",""))</f>
        <v/>
      </c>
      <c r="O2861" s="857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65"/>
    </row>
    <row r="2862" spans="1:28" s="900" customFormat="1" ht="15.75" customHeight="1">
      <c r="A2862" s="895" t="str">
        <f>IF(B2862&lt;&gt;"",IF(AND(B2862&gt;=_TM1,B2862&lt;=_TM2,OR(TH!L2862="1111",TH!M2862="1111")),TH!D2862,""),"")</f>
        <v/>
      </c>
      <c r="B2862" s="896">
        <f t="shared" si="150"/>
        <v>2</v>
      </c>
      <c r="C2862" s="897">
        <f t="shared" si="151"/>
        <v>42424</v>
      </c>
      <c r="D2862" s="897" t="s">
        <v>1580</v>
      </c>
      <c r="E2862" s="869">
        <v>42424</v>
      </c>
      <c r="F2862" s="870" t="s">
        <v>727</v>
      </c>
      <c r="G2862" s="871" t="s">
        <v>469</v>
      </c>
      <c r="H2862" s="965" t="s">
        <v>1328</v>
      </c>
      <c r="I2862" s="254">
        <v>5</v>
      </c>
      <c r="J2862" s="254">
        <v>14349.86187375297</v>
      </c>
      <c r="K2862" s="51">
        <f t="shared" si="152"/>
        <v>71749</v>
      </c>
      <c r="L2862" s="966" t="s">
        <v>172</v>
      </c>
      <c r="M2862" s="966" t="s">
        <v>167</v>
      </c>
      <c r="N2862" s="52" t="str">
        <f>IF(AND('331-CT'!$E$7=TH!H2862,OR(L2862="331",M2862="331")),"331",IF(AND(OR(L2862="131",M2862="131"),H2862='131-CT'!$E$7),"131",""))</f>
        <v/>
      </c>
      <c r="O2862" s="857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65"/>
    </row>
    <row r="2863" spans="1:28" s="900" customFormat="1" ht="15.75" customHeight="1">
      <c r="A2863" s="895" t="str">
        <f>IF(B2863&lt;&gt;"",IF(AND(B2863&gt;=_TM1,B2863&lt;=_TM2,OR(TH!L2863="1111",TH!M2863="1111")),TH!D2863,""),"")</f>
        <v/>
      </c>
      <c r="B2863" s="896">
        <f t="shared" si="150"/>
        <v>2</v>
      </c>
      <c r="C2863" s="897">
        <f t="shared" si="151"/>
        <v>42424</v>
      </c>
      <c r="D2863" s="897" t="s">
        <v>1580</v>
      </c>
      <c r="E2863" s="869">
        <v>42424</v>
      </c>
      <c r="F2863" s="870" t="s">
        <v>725</v>
      </c>
      <c r="G2863" s="871" t="s">
        <v>469</v>
      </c>
      <c r="H2863" s="965" t="s">
        <v>1328</v>
      </c>
      <c r="I2863" s="254">
        <v>30</v>
      </c>
      <c r="J2863" s="254">
        <v>13849.285296761587</v>
      </c>
      <c r="K2863" s="51">
        <f t="shared" si="152"/>
        <v>415479</v>
      </c>
      <c r="L2863" s="966" t="s">
        <v>172</v>
      </c>
      <c r="M2863" s="966" t="s">
        <v>167</v>
      </c>
      <c r="N2863" s="52" t="str">
        <f>IF(AND('331-CT'!$E$7=TH!H2863,OR(L2863="331",M2863="331")),"331",IF(AND(OR(L2863="131",M2863="131"),H2863='131-CT'!$E$7),"131",""))</f>
        <v/>
      </c>
      <c r="O2863" s="857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65"/>
    </row>
    <row r="2864" spans="1:28" s="900" customFormat="1" ht="15.75" customHeight="1">
      <c r="A2864" s="895" t="str">
        <f>IF(B2864&lt;&gt;"",IF(AND(B2864&gt;=_TM1,B2864&lt;=_TM2,OR(TH!L2864="1111",TH!M2864="1111")),TH!D2864,""),"")</f>
        <v/>
      </c>
      <c r="B2864" s="896">
        <f t="shared" si="150"/>
        <v>2</v>
      </c>
      <c r="C2864" s="897">
        <f t="shared" si="151"/>
        <v>42424</v>
      </c>
      <c r="D2864" s="897" t="s">
        <v>1580</v>
      </c>
      <c r="E2864" s="869">
        <v>42424</v>
      </c>
      <c r="F2864" s="870" t="s">
        <v>744</v>
      </c>
      <c r="G2864" s="871" t="s">
        <v>469</v>
      </c>
      <c r="H2864" s="965" t="s">
        <v>1328</v>
      </c>
      <c r="I2864" s="254">
        <v>550</v>
      </c>
      <c r="J2864" s="254">
        <v>8176.0840908592509</v>
      </c>
      <c r="K2864" s="51">
        <f t="shared" si="152"/>
        <v>4496846</v>
      </c>
      <c r="L2864" s="966" t="s">
        <v>172</v>
      </c>
      <c r="M2864" s="966" t="s">
        <v>167</v>
      </c>
      <c r="N2864" s="52" t="str">
        <f>IF(AND('331-CT'!$E$7=TH!H2864,OR(L2864="331",M2864="331")),"331",IF(AND(OR(L2864="131",M2864="131"),H2864='131-CT'!$E$7),"131",""))</f>
        <v/>
      </c>
      <c r="O2864" s="857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65"/>
    </row>
    <row r="2865" spans="1:31" s="900" customFormat="1" ht="15.75" customHeight="1">
      <c r="A2865" s="895" t="str">
        <f>IF(B2865&lt;&gt;"",IF(AND(B2865&gt;=_TM1,B2865&lt;=_TM2,OR(TH!L2865="1111",TH!M2865="1111")),TH!D2865,""),"")</f>
        <v/>
      </c>
      <c r="B2865" s="896">
        <f t="shared" si="150"/>
        <v>2</v>
      </c>
      <c r="C2865" s="897">
        <f t="shared" si="151"/>
        <v>42424</v>
      </c>
      <c r="D2865" s="897" t="s">
        <v>1580</v>
      </c>
      <c r="E2865" s="869">
        <v>42424</v>
      </c>
      <c r="F2865" s="870" t="s">
        <v>548</v>
      </c>
      <c r="G2865" s="871" t="s">
        <v>469</v>
      </c>
      <c r="H2865" s="965" t="s">
        <v>1328</v>
      </c>
      <c r="I2865" s="254">
        <v>45</v>
      </c>
      <c r="J2865" s="254">
        <v>12264.126136288876</v>
      </c>
      <c r="K2865" s="51">
        <f t="shared" si="152"/>
        <v>551886</v>
      </c>
      <c r="L2865" s="966" t="s">
        <v>172</v>
      </c>
      <c r="M2865" s="966" t="s">
        <v>167</v>
      </c>
      <c r="N2865" s="52" t="str">
        <f>IF(AND('331-CT'!$E$7=TH!H2865,OR(L2865="331",M2865="331")),"331",IF(AND(OR(L2865="131",M2865="131"),H2865='131-CT'!$E$7),"131",""))</f>
        <v/>
      </c>
      <c r="O2865" s="857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65"/>
    </row>
    <row r="2866" spans="1:31" s="900" customFormat="1" ht="15.75" customHeight="1">
      <c r="A2866" s="895" t="str">
        <f>IF(B2866&lt;&gt;"",IF(AND(B2866&gt;=_TM1,B2866&lt;=_TM2,OR(TH!L2866="1111",TH!M2866="1111")),TH!D2866,""),"")</f>
        <v/>
      </c>
      <c r="B2866" s="896">
        <f t="shared" si="150"/>
        <v>2</v>
      </c>
      <c r="C2866" s="897">
        <f t="shared" si="151"/>
        <v>42425</v>
      </c>
      <c r="D2866" s="897" t="s">
        <v>1580</v>
      </c>
      <c r="E2866" s="869">
        <v>42425</v>
      </c>
      <c r="F2866" s="870" t="s">
        <v>961</v>
      </c>
      <c r="G2866" s="871" t="s">
        <v>470</v>
      </c>
      <c r="H2866" s="965" t="s">
        <v>1328</v>
      </c>
      <c r="I2866" s="254">
        <v>110</v>
      </c>
      <c r="J2866" s="254">
        <v>6924.6426483807936</v>
      </c>
      <c r="K2866" s="51">
        <f t="shared" si="152"/>
        <v>761711</v>
      </c>
      <c r="L2866" s="966" t="s">
        <v>172</v>
      </c>
      <c r="M2866" s="966" t="s">
        <v>167</v>
      </c>
      <c r="N2866" s="52" t="str">
        <f>IF(AND('331-CT'!$E$7=TH!H2866,OR(L2866="331",M2866="331")),"331",IF(AND(OR(L2866="131",M2866="131"),H2866='131-CT'!$E$7),"131",""))</f>
        <v/>
      </c>
      <c r="O2866" s="857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65"/>
    </row>
    <row r="2867" spans="1:31" s="900" customFormat="1" ht="15.75" customHeight="1">
      <c r="A2867" s="895" t="str">
        <f>IF(B2867&lt;&gt;"",IF(AND(B2867&gt;=_TM1,B2867&lt;=_TM2,OR(TH!L2867="1111",TH!M2867="1111")),TH!D2867,""),"")</f>
        <v/>
      </c>
      <c r="B2867" s="896">
        <f t="shared" si="150"/>
        <v>2</v>
      </c>
      <c r="C2867" s="897">
        <f t="shared" si="151"/>
        <v>42425</v>
      </c>
      <c r="D2867" s="897" t="s">
        <v>1580</v>
      </c>
      <c r="E2867" s="869">
        <v>42425</v>
      </c>
      <c r="F2867" s="870" t="s">
        <v>510</v>
      </c>
      <c r="G2867" s="871" t="s">
        <v>470</v>
      </c>
      <c r="H2867" s="965" t="s">
        <v>1328</v>
      </c>
      <c r="I2867" s="254">
        <v>1172</v>
      </c>
      <c r="J2867" s="254">
        <v>10595.537546317601</v>
      </c>
      <c r="K2867" s="51">
        <f t="shared" si="152"/>
        <v>12417970</v>
      </c>
      <c r="L2867" s="966" t="s">
        <v>172</v>
      </c>
      <c r="M2867" s="966" t="s">
        <v>167</v>
      </c>
      <c r="N2867" s="52" t="str">
        <f>IF(AND('331-CT'!$E$7=TH!H2867,OR(L2867="331",M2867="331")),"331",IF(AND(OR(L2867="131",M2867="131"),H2867='131-CT'!$E$7),"131",""))</f>
        <v/>
      </c>
      <c r="O2867" s="857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65"/>
      <c r="AE2867" s="971"/>
    </row>
    <row r="2868" spans="1:31" s="900" customFormat="1" ht="15.75" customHeight="1">
      <c r="A2868" s="895" t="str">
        <f>IF(B2868&lt;&gt;"",IF(AND(B2868&gt;=_TM1,B2868&lt;=_TM2,OR(TH!L2868="1111",TH!M2868="1111")),TH!D2868,""),"")</f>
        <v/>
      </c>
      <c r="B2868" s="896">
        <f t="shared" si="150"/>
        <v>2</v>
      </c>
      <c r="C2868" s="897">
        <f t="shared" si="151"/>
        <v>42425</v>
      </c>
      <c r="D2868" s="897" t="s">
        <v>1580</v>
      </c>
      <c r="E2868" s="869">
        <v>42425</v>
      </c>
      <c r="F2868" s="870" t="s">
        <v>947</v>
      </c>
      <c r="G2868" s="871" t="s">
        <v>470</v>
      </c>
      <c r="H2868" s="965" t="s">
        <v>1328</v>
      </c>
      <c r="I2868" s="254">
        <v>110</v>
      </c>
      <c r="J2868" s="254">
        <v>11012.684693810421</v>
      </c>
      <c r="K2868" s="51">
        <f t="shared" si="152"/>
        <v>1211395</v>
      </c>
      <c r="L2868" s="966" t="s">
        <v>172</v>
      </c>
      <c r="M2868" s="966" t="s">
        <v>167</v>
      </c>
      <c r="N2868" s="52" t="str">
        <f>IF(AND('331-CT'!$E$7=TH!H2868,OR(L2868="331",M2868="331")),"331",IF(AND(OR(L2868="131",M2868="131"),H2868='131-CT'!$E$7),"131",""))</f>
        <v/>
      </c>
      <c r="O2868" s="857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65"/>
    </row>
    <row r="2869" spans="1:31" s="900" customFormat="1" ht="15.75" customHeight="1">
      <c r="A2869" s="895" t="str">
        <f>IF(B2869&lt;&gt;"",IF(AND(B2869&gt;=_TM1,B2869&lt;=_TM2,OR(TH!L2869="1111",TH!M2869="1111")),TH!D2869,""),"")</f>
        <v/>
      </c>
      <c r="B2869" s="896">
        <f t="shared" si="150"/>
        <v>2</v>
      </c>
      <c r="C2869" s="897">
        <f t="shared" si="151"/>
        <v>42425</v>
      </c>
      <c r="D2869" s="897" t="s">
        <v>1580</v>
      </c>
      <c r="E2869" s="869">
        <v>42425</v>
      </c>
      <c r="F2869" s="870" t="s">
        <v>962</v>
      </c>
      <c r="G2869" s="871" t="s">
        <v>470</v>
      </c>
      <c r="H2869" s="965" t="s">
        <v>1328</v>
      </c>
      <c r="I2869" s="254">
        <v>110</v>
      </c>
      <c r="J2869" s="254">
        <v>13014.99100177595</v>
      </c>
      <c r="K2869" s="51">
        <f t="shared" si="152"/>
        <v>1431649</v>
      </c>
      <c r="L2869" s="966" t="s">
        <v>172</v>
      </c>
      <c r="M2869" s="966" t="s">
        <v>167</v>
      </c>
      <c r="N2869" s="52" t="str">
        <f>IF(AND('331-CT'!$E$7=TH!H2869,OR(L2869="331",M2869="331")),"331",IF(AND(OR(L2869="131",M2869="131"),H2869='131-CT'!$E$7),"131",""))</f>
        <v/>
      </c>
      <c r="O2869" s="857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65"/>
    </row>
    <row r="2870" spans="1:31" s="900" customFormat="1" ht="15.75" customHeight="1">
      <c r="A2870" s="895" t="str">
        <f>IF(B2870&lt;&gt;"",IF(AND(B2870&gt;=_TM1,B2870&lt;=_TM2,OR(TH!L2870="1111",TH!M2870="1111")),TH!D2870,""),"")</f>
        <v/>
      </c>
      <c r="B2870" s="896">
        <f t="shared" si="150"/>
        <v>2</v>
      </c>
      <c r="C2870" s="897">
        <f t="shared" si="151"/>
        <v>42425</v>
      </c>
      <c r="D2870" s="897" t="s">
        <v>1580</v>
      </c>
      <c r="E2870" s="869">
        <v>42425</v>
      </c>
      <c r="F2870" s="870" t="s">
        <v>728</v>
      </c>
      <c r="G2870" s="871" t="s">
        <v>472</v>
      </c>
      <c r="H2870" s="965" t="s">
        <v>1328</v>
      </c>
      <c r="I2870" s="254">
        <v>20</v>
      </c>
      <c r="J2870" s="254">
        <v>11012.684693810421</v>
      </c>
      <c r="K2870" s="51">
        <f t="shared" si="152"/>
        <v>220254</v>
      </c>
      <c r="L2870" s="966" t="s">
        <v>172</v>
      </c>
      <c r="M2870" s="966" t="s">
        <v>167</v>
      </c>
      <c r="N2870" s="52" t="str">
        <f>IF(AND('331-CT'!$E$7=TH!H2870,OR(L2870="331",M2870="331")),"331",IF(AND(OR(L2870="131",M2870="131"),H2870='131-CT'!$E$7),"131",""))</f>
        <v/>
      </c>
      <c r="O2870" s="857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65"/>
    </row>
    <row r="2871" spans="1:31" s="900" customFormat="1" ht="15.75" customHeight="1">
      <c r="A2871" s="895" t="str">
        <f>IF(B2871&lt;&gt;"",IF(AND(B2871&gt;=_TM1,B2871&lt;=_TM2,OR(TH!L2871="1111",TH!M2871="1111")),TH!D2871,""),"")</f>
        <v/>
      </c>
      <c r="B2871" s="896">
        <f t="shared" si="150"/>
        <v>2</v>
      </c>
      <c r="C2871" s="897">
        <f t="shared" si="151"/>
        <v>42425</v>
      </c>
      <c r="D2871" s="897" t="s">
        <v>1580</v>
      </c>
      <c r="E2871" s="869">
        <v>42425</v>
      </c>
      <c r="F2871" s="870" t="s">
        <v>726</v>
      </c>
      <c r="G2871" s="871" t="s">
        <v>472</v>
      </c>
      <c r="H2871" s="965" t="s">
        <v>1328</v>
      </c>
      <c r="I2871" s="254">
        <v>40</v>
      </c>
      <c r="J2871" s="254">
        <v>7592.0780843693046</v>
      </c>
      <c r="K2871" s="51">
        <f t="shared" si="152"/>
        <v>303683</v>
      </c>
      <c r="L2871" s="966" t="s">
        <v>172</v>
      </c>
      <c r="M2871" s="966" t="s">
        <v>167</v>
      </c>
      <c r="N2871" s="52" t="str">
        <f>IF(AND('331-CT'!$E$7=TH!H2871,OR(L2871="331",M2871="331")),"331",IF(AND(OR(L2871="131",M2871="131"),H2871='131-CT'!$E$7),"131",""))</f>
        <v/>
      </c>
      <c r="O2871" s="857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65"/>
    </row>
    <row r="2872" spans="1:31" s="900" customFormat="1" ht="15.75" customHeight="1">
      <c r="A2872" s="895" t="str">
        <f>IF(B2872&lt;&gt;"",IF(AND(B2872&gt;=_TM1,B2872&lt;=_TM2,OR(TH!L2872="1111",TH!M2872="1111")),TH!D2872,""),"")</f>
        <v/>
      </c>
      <c r="B2872" s="896">
        <f t="shared" si="150"/>
        <v>2</v>
      </c>
      <c r="C2872" s="897">
        <f t="shared" si="151"/>
        <v>42425</v>
      </c>
      <c r="D2872" s="897" t="s">
        <v>1580</v>
      </c>
      <c r="E2872" s="869">
        <v>42425</v>
      </c>
      <c r="F2872" s="870" t="s">
        <v>560</v>
      </c>
      <c r="G2872" s="871" t="s">
        <v>472</v>
      </c>
      <c r="H2872" s="965" t="s">
        <v>1328</v>
      </c>
      <c r="I2872" s="254">
        <v>100</v>
      </c>
      <c r="J2872" s="254">
        <v>8259.5135203578157</v>
      </c>
      <c r="K2872" s="51">
        <f t="shared" si="152"/>
        <v>825951</v>
      </c>
      <c r="L2872" s="966" t="s">
        <v>172</v>
      </c>
      <c r="M2872" s="966" t="s">
        <v>167</v>
      </c>
      <c r="N2872" s="52" t="str">
        <f>IF(AND('331-CT'!$E$7=TH!H2872,OR(L2872="331",M2872="331")),"331",IF(AND(OR(L2872="131",M2872="131"),H2872='131-CT'!$E$7),"131",""))</f>
        <v/>
      </c>
      <c r="O2872" s="857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65"/>
    </row>
    <row r="2873" spans="1:31" s="900" customFormat="1" ht="15.75" customHeight="1">
      <c r="A2873" s="895" t="str">
        <f>IF(B2873&lt;&gt;"",IF(AND(B2873&gt;=_TM1,B2873&lt;=_TM2,OR(TH!L2873="1111",TH!M2873="1111")),TH!D2873,""),"")</f>
        <v/>
      </c>
      <c r="B2873" s="896">
        <f t="shared" si="150"/>
        <v>2</v>
      </c>
      <c r="C2873" s="897">
        <f t="shared" si="151"/>
        <v>42425</v>
      </c>
      <c r="D2873" s="897" t="s">
        <v>1580</v>
      </c>
      <c r="E2873" s="869">
        <v>42425</v>
      </c>
      <c r="F2873" s="870" t="s">
        <v>547</v>
      </c>
      <c r="G2873" s="871" t="s">
        <v>472</v>
      </c>
      <c r="H2873" s="965" t="s">
        <v>1328</v>
      </c>
      <c r="I2873" s="254">
        <v>60</v>
      </c>
      <c r="J2873" s="254">
        <v>14933.867880242919</v>
      </c>
      <c r="K2873" s="51">
        <f t="shared" si="152"/>
        <v>896032</v>
      </c>
      <c r="L2873" s="966" t="s">
        <v>172</v>
      </c>
      <c r="M2873" s="966" t="s">
        <v>167</v>
      </c>
      <c r="N2873" s="52" t="str">
        <f>IF(AND('331-CT'!$E$7=TH!H2873,OR(L2873="331",M2873="331")),"331",IF(AND(OR(L2873="131",M2873="131"),H2873='131-CT'!$E$7),"131",""))</f>
        <v/>
      </c>
      <c r="O2873" s="857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65"/>
    </row>
    <row r="2874" spans="1:31" s="900" customFormat="1" ht="15.75" customHeight="1">
      <c r="A2874" s="895" t="str">
        <f>IF(B2874&lt;&gt;"",IF(AND(B2874&gt;=_TM1,B2874&lt;=_TM2,OR(TH!L2874="1111",TH!M2874="1111")),TH!D2874,""),"")</f>
        <v/>
      </c>
      <c r="B2874" s="896">
        <f t="shared" ref="B2874:B2937" si="153">IF(C2874&lt;&gt;"",MONTH(C2874),"")</f>
        <v>2</v>
      </c>
      <c r="C2874" s="897">
        <f t="shared" si="151"/>
        <v>42425</v>
      </c>
      <c r="D2874" s="897" t="s">
        <v>1580</v>
      </c>
      <c r="E2874" s="869">
        <v>42425</v>
      </c>
      <c r="F2874" s="870" t="s">
        <v>734</v>
      </c>
      <c r="G2874" s="871" t="s">
        <v>472</v>
      </c>
      <c r="H2874" s="965" t="s">
        <v>1328</v>
      </c>
      <c r="I2874" s="254">
        <v>45</v>
      </c>
      <c r="J2874" s="254">
        <v>13181.849860773078</v>
      </c>
      <c r="K2874" s="51">
        <f t="shared" si="152"/>
        <v>593183</v>
      </c>
      <c r="L2874" s="966" t="s">
        <v>172</v>
      </c>
      <c r="M2874" s="966" t="s">
        <v>167</v>
      </c>
      <c r="N2874" s="52" t="str">
        <f>IF(AND('331-CT'!$E$7=TH!H2874,OR(L2874="331",M2874="331")),"331",IF(AND(OR(L2874="131",M2874="131"),H2874='131-CT'!$E$7),"131",""))</f>
        <v/>
      </c>
      <c r="O2874" s="857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65"/>
    </row>
    <row r="2875" spans="1:31" s="900" customFormat="1" ht="15.75" customHeight="1">
      <c r="A2875" s="895" t="str">
        <f>IF(B2875&lt;&gt;"",IF(AND(B2875&gt;=_TM1,B2875&lt;=_TM2,OR(TH!L2875="1111",TH!M2875="1111")),TH!D2875,""),"")</f>
        <v/>
      </c>
      <c r="B2875" s="896">
        <f t="shared" si="153"/>
        <v>2</v>
      </c>
      <c r="C2875" s="897">
        <f t="shared" si="151"/>
        <v>42425</v>
      </c>
      <c r="D2875" s="897" t="s">
        <v>1580</v>
      </c>
      <c r="E2875" s="48">
        <v>42425</v>
      </c>
      <c r="F2875" s="870" t="s">
        <v>547</v>
      </c>
      <c r="G2875" s="871" t="s">
        <v>472</v>
      </c>
      <c r="H2875" s="965" t="s">
        <v>1328</v>
      </c>
      <c r="I2875" s="254">
        <v>15</v>
      </c>
      <c r="J2875" s="254">
        <v>14933.867880242919</v>
      </c>
      <c r="K2875" s="51">
        <f t="shared" si="152"/>
        <v>224008</v>
      </c>
      <c r="L2875" s="966" t="s">
        <v>172</v>
      </c>
      <c r="M2875" s="966" t="s">
        <v>167</v>
      </c>
      <c r="N2875" s="52" t="str">
        <f>IF(AND('331-CT'!$E$7=TH!H2875,OR(L2875="331",M2875="331")),"331",IF(AND(OR(L2875="131",M2875="131"),H2875='131-CT'!$E$7),"131",""))</f>
        <v/>
      </c>
      <c r="O2875" s="857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65"/>
    </row>
    <row r="2876" spans="1:31" s="900" customFormat="1" ht="15.75" customHeight="1">
      <c r="A2876" s="895" t="str">
        <f>IF(B2876&lt;&gt;"",IF(AND(B2876&gt;=_TM1,B2876&lt;=_TM2,OR(TH!L2876="1111",TH!M2876="1111")),TH!D2876,""),"")</f>
        <v/>
      </c>
      <c r="B2876" s="896">
        <f t="shared" si="153"/>
        <v>2</v>
      </c>
      <c r="C2876" s="897">
        <f t="shared" si="151"/>
        <v>42425</v>
      </c>
      <c r="D2876" s="897" t="s">
        <v>1580</v>
      </c>
      <c r="E2876" s="48">
        <v>42425</v>
      </c>
      <c r="F2876" s="870" t="s">
        <v>737</v>
      </c>
      <c r="G2876" s="871" t="s">
        <v>472</v>
      </c>
      <c r="H2876" s="965" t="s">
        <v>1328</v>
      </c>
      <c r="I2876" s="254">
        <v>10</v>
      </c>
      <c r="J2876" s="254">
        <v>13014.99100177595</v>
      </c>
      <c r="K2876" s="51">
        <f t="shared" si="152"/>
        <v>130150</v>
      </c>
      <c r="L2876" s="966" t="s">
        <v>172</v>
      </c>
      <c r="M2876" s="966" t="s">
        <v>167</v>
      </c>
      <c r="N2876" s="52" t="str">
        <f>IF(AND('331-CT'!$E$7=TH!H2876,OR(L2876="331",M2876="331")),"331",IF(AND(OR(L2876="131",M2876="131"),H2876='131-CT'!$E$7),"131",""))</f>
        <v/>
      </c>
      <c r="O2876" s="857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65"/>
    </row>
    <row r="2877" spans="1:31" s="900" customFormat="1" ht="15.75" customHeight="1">
      <c r="A2877" s="895" t="str">
        <f>IF(B2877&lt;&gt;"",IF(AND(B2877&gt;=_TM1,B2877&lt;=_TM2,OR(TH!L2877="1111",TH!M2877="1111")),TH!D2877,""),"")</f>
        <v/>
      </c>
      <c r="B2877" s="896">
        <f t="shared" si="153"/>
        <v>2</v>
      </c>
      <c r="C2877" s="897">
        <f t="shared" si="151"/>
        <v>42427</v>
      </c>
      <c r="D2877" s="897" t="s">
        <v>1580</v>
      </c>
      <c r="E2877" s="48">
        <v>42427</v>
      </c>
      <c r="F2877" s="870" t="s">
        <v>729</v>
      </c>
      <c r="G2877" s="871" t="s">
        <v>963</v>
      </c>
      <c r="H2877" s="965" t="s">
        <v>1328</v>
      </c>
      <c r="I2877" s="254">
        <v>40</v>
      </c>
      <c r="J2877" s="254">
        <v>9260.6666743405804</v>
      </c>
      <c r="K2877" s="51">
        <f t="shared" si="152"/>
        <v>370427</v>
      </c>
      <c r="L2877" s="966" t="s">
        <v>172</v>
      </c>
      <c r="M2877" s="966" t="s">
        <v>167</v>
      </c>
      <c r="N2877" s="52" t="str">
        <f>IF(AND('331-CT'!$E$7=TH!H2877,OR(L2877="331",M2877="331")),"331",IF(AND(OR(L2877="131",M2877="131"),H2877='131-CT'!$E$7),"131",""))</f>
        <v/>
      </c>
      <c r="O2877" s="857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65"/>
    </row>
    <row r="2878" spans="1:31" s="900" customFormat="1" ht="15.75" customHeight="1">
      <c r="A2878" s="895" t="str">
        <f>IF(B2878&lt;&gt;"",IF(AND(B2878&gt;=_TM1,B2878&lt;=_TM2,OR(TH!L2878="1111",TH!M2878="1111")),TH!D2878,""),"")</f>
        <v/>
      </c>
      <c r="B2878" s="896">
        <f t="shared" si="153"/>
        <v>2</v>
      </c>
      <c r="C2878" s="897">
        <f t="shared" si="151"/>
        <v>42427</v>
      </c>
      <c r="D2878" s="897" t="s">
        <v>1580</v>
      </c>
      <c r="E2878" s="48">
        <v>42427</v>
      </c>
      <c r="F2878" s="870" t="s">
        <v>738</v>
      </c>
      <c r="G2878" s="871" t="s">
        <v>963</v>
      </c>
      <c r="H2878" s="965" t="s">
        <v>1328</v>
      </c>
      <c r="I2878" s="254">
        <v>20</v>
      </c>
      <c r="J2878" s="254">
        <v>12180.696706790313</v>
      </c>
      <c r="K2878" s="51">
        <f t="shared" si="152"/>
        <v>243614</v>
      </c>
      <c r="L2878" s="966" t="s">
        <v>172</v>
      </c>
      <c r="M2878" s="966" t="s">
        <v>167</v>
      </c>
      <c r="N2878" s="52" t="str">
        <f>IF(AND('331-CT'!$E$7=TH!H2878,OR(L2878="331",M2878="331")),"331",IF(AND(OR(L2878="131",M2878="131"),H2878='131-CT'!$E$7),"131",""))</f>
        <v/>
      </c>
      <c r="O2878" s="857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65"/>
    </row>
    <row r="2879" spans="1:31" s="900" customFormat="1" ht="15.75" customHeight="1">
      <c r="A2879" s="895" t="str">
        <f>IF(B2879&lt;&gt;"",IF(AND(B2879&gt;=_TM1,B2879&lt;=_TM2,OR(TH!L2879="1111",TH!M2879="1111")),TH!D2879,""),"")</f>
        <v/>
      </c>
      <c r="B2879" s="896">
        <f t="shared" si="153"/>
        <v>2</v>
      </c>
      <c r="C2879" s="897">
        <f t="shared" ref="C2879:C2942" si="154">E2879</f>
        <v>42427</v>
      </c>
      <c r="D2879" s="897" t="s">
        <v>1580</v>
      </c>
      <c r="E2879" s="48">
        <v>42427</v>
      </c>
      <c r="F2879" s="870" t="s">
        <v>727</v>
      </c>
      <c r="G2879" s="871" t="s">
        <v>963</v>
      </c>
      <c r="H2879" s="965" t="s">
        <v>1328</v>
      </c>
      <c r="I2879" s="254">
        <v>10</v>
      </c>
      <c r="J2879" s="254">
        <v>14349.86187375297</v>
      </c>
      <c r="K2879" s="51">
        <f t="shared" si="152"/>
        <v>143499</v>
      </c>
      <c r="L2879" s="966" t="s">
        <v>172</v>
      </c>
      <c r="M2879" s="966" t="s">
        <v>167</v>
      </c>
      <c r="N2879" s="52" t="str">
        <f>IF(AND('331-CT'!$E$7=TH!H2879,OR(L2879="331",M2879="331")),"331",IF(AND(OR(L2879="131",M2879="131"),H2879='131-CT'!$E$7),"131",""))</f>
        <v/>
      </c>
      <c r="O2879" s="857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65"/>
    </row>
    <row r="2880" spans="1:31" s="900" customFormat="1" ht="15.75" customHeight="1">
      <c r="A2880" s="895" t="str">
        <f>IF(B2880&lt;&gt;"",IF(AND(B2880&gt;=_TM1,B2880&lt;=_TM2,OR(TH!L2880="1111",TH!M2880="1111")),TH!D2880,""),"")</f>
        <v/>
      </c>
      <c r="B2880" s="896">
        <f t="shared" si="153"/>
        <v>2</v>
      </c>
      <c r="C2880" s="897">
        <f t="shared" si="154"/>
        <v>42427</v>
      </c>
      <c r="D2880" s="897" t="s">
        <v>1580</v>
      </c>
      <c r="E2880" s="48">
        <v>42427</v>
      </c>
      <c r="F2880" s="870" t="s">
        <v>1261</v>
      </c>
      <c r="G2880" s="871" t="s">
        <v>963</v>
      </c>
      <c r="H2880" s="965" t="s">
        <v>1328</v>
      </c>
      <c r="I2880" s="254">
        <v>15</v>
      </c>
      <c r="J2880" s="254">
        <v>12514.414424784569</v>
      </c>
      <c r="K2880" s="51">
        <f t="shared" ref="K2880:K2943" si="155">ROUND(I2880*J2880,0)</f>
        <v>187716</v>
      </c>
      <c r="L2880" s="966" t="s">
        <v>172</v>
      </c>
      <c r="M2880" s="966" t="s">
        <v>167</v>
      </c>
      <c r="N2880" s="52" t="str">
        <f>IF(AND('331-CT'!$E$7=TH!H2880,OR(L2880="331",M2880="331")),"331",IF(AND(OR(L2880="131",M2880="131"),H2880='131-CT'!$E$7),"131",""))</f>
        <v/>
      </c>
      <c r="O2880" s="857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65"/>
    </row>
    <row r="2881" spans="1:28" s="900" customFormat="1" ht="15.75" customHeight="1">
      <c r="A2881" s="895" t="str">
        <f>IF(B2881&lt;&gt;"",IF(AND(B2881&gt;=_TM1,B2881&lt;=_TM2,OR(TH!L2881="1111",TH!M2881="1111")),TH!D2881,""),"")</f>
        <v/>
      </c>
      <c r="B2881" s="896">
        <f t="shared" si="153"/>
        <v>2</v>
      </c>
      <c r="C2881" s="897">
        <f t="shared" si="154"/>
        <v>42427</v>
      </c>
      <c r="D2881" s="897" t="s">
        <v>1580</v>
      </c>
      <c r="E2881" s="48">
        <v>42427</v>
      </c>
      <c r="F2881" s="870" t="s">
        <v>1262</v>
      </c>
      <c r="G2881" s="871" t="s">
        <v>963</v>
      </c>
      <c r="H2881" s="965" t="s">
        <v>1328</v>
      </c>
      <c r="I2881" s="254">
        <v>10</v>
      </c>
      <c r="J2881" s="254">
        <v>18604.762778179724</v>
      </c>
      <c r="K2881" s="51">
        <f t="shared" si="155"/>
        <v>186048</v>
      </c>
      <c r="L2881" s="966" t="s">
        <v>172</v>
      </c>
      <c r="M2881" s="966" t="s">
        <v>167</v>
      </c>
      <c r="N2881" s="52" t="str">
        <f>IF(AND('331-CT'!$E$7=TH!H2881,OR(L2881="331",M2881="331")),"331",IF(AND(OR(L2881="131",M2881="131"),H2881='131-CT'!$E$7),"131",""))</f>
        <v/>
      </c>
      <c r="O2881" s="857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65"/>
    </row>
    <row r="2882" spans="1:28" s="900" customFormat="1" ht="15.75" customHeight="1">
      <c r="A2882" s="895" t="str">
        <f>IF(B2882&lt;&gt;"",IF(AND(B2882&gt;=_TM1,B2882&lt;=_TM2,OR(TH!L2882="1111",TH!M2882="1111")),TH!D2882,""),"")</f>
        <v/>
      </c>
      <c r="B2882" s="896">
        <f t="shared" si="153"/>
        <v>2</v>
      </c>
      <c r="C2882" s="897">
        <f t="shared" si="154"/>
        <v>42427</v>
      </c>
      <c r="D2882" s="897" t="s">
        <v>1580</v>
      </c>
      <c r="E2882" s="48">
        <v>42427</v>
      </c>
      <c r="F2882" s="870" t="s">
        <v>735</v>
      </c>
      <c r="G2882" s="871" t="s">
        <v>963</v>
      </c>
      <c r="H2882" s="965" t="s">
        <v>1328</v>
      </c>
      <c r="I2882" s="254">
        <v>10</v>
      </c>
      <c r="J2882" s="254">
        <v>18771.621637176853</v>
      </c>
      <c r="K2882" s="51">
        <f t="shared" si="155"/>
        <v>187716</v>
      </c>
      <c r="L2882" s="966" t="s">
        <v>172</v>
      </c>
      <c r="M2882" s="966" t="s">
        <v>167</v>
      </c>
      <c r="N2882" s="52" t="str">
        <f>IF(AND('331-CT'!$E$7=TH!H2882,OR(L2882="331",M2882="331")),"331",IF(AND(OR(L2882="131",M2882="131"),H2882='131-CT'!$E$7),"131",""))</f>
        <v/>
      </c>
      <c r="O2882" s="857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65"/>
    </row>
    <row r="2883" spans="1:28" s="900" customFormat="1" ht="15.75" customHeight="1">
      <c r="A2883" s="895" t="str">
        <f>IF(B2883&lt;&gt;"",IF(AND(B2883&gt;=_TM1,B2883&lt;=_TM2,OR(TH!L2883="1111",TH!M2883="1111")),TH!D2883,""),"")</f>
        <v/>
      </c>
      <c r="B2883" s="896">
        <f t="shared" si="153"/>
        <v>2</v>
      </c>
      <c r="C2883" s="897">
        <f t="shared" si="154"/>
        <v>42427</v>
      </c>
      <c r="D2883" s="897" t="s">
        <v>1580</v>
      </c>
      <c r="E2883" s="48">
        <v>42427</v>
      </c>
      <c r="F2883" s="870" t="s">
        <v>1263</v>
      </c>
      <c r="G2883" s="871" t="s">
        <v>963</v>
      </c>
      <c r="H2883" s="965" t="s">
        <v>1328</v>
      </c>
      <c r="I2883" s="254">
        <v>20</v>
      </c>
      <c r="J2883" s="254">
        <v>12931.561572277387</v>
      </c>
      <c r="K2883" s="51">
        <f t="shared" si="155"/>
        <v>258631</v>
      </c>
      <c r="L2883" s="966" t="s">
        <v>172</v>
      </c>
      <c r="M2883" s="966" t="s">
        <v>167</v>
      </c>
      <c r="N2883" s="52" t="str">
        <f>IF(AND('331-CT'!$E$7=TH!H2883,OR(L2883="331",M2883="331")),"331",IF(AND(OR(L2883="131",M2883="131"),H2883='131-CT'!$E$7),"131",""))</f>
        <v/>
      </c>
      <c r="O2883" s="857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65"/>
    </row>
    <row r="2884" spans="1:28" s="900" customFormat="1" ht="15.75" customHeight="1">
      <c r="A2884" s="895" t="str">
        <f>IF(B2884&lt;&gt;"",IF(AND(B2884&gt;=_TM1,B2884&lt;=_TM2,OR(TH!L2884="1111",TH!M2884="1111")),TH!D2884,""),"")</f>
        <v/>
      </c>
      <c r="B2884" s="896">
        <f t="shared" si="153"/>
        <v>2</v>
      </c>
      <c r="C2884" s="897">
        <f t="shared" si="154"/>
        <v>42427</v>
      </c>
      <c r="D2884" s="897" t="s">
        <v>1580</v>
      </c>
      <c r="E2884" s="48">
        <v>42427</v>
      </c>
      <c r="F2884" s="870" t="s">
        <v>434</v>
      </c>
      <c r="G2884" s="871" t="s">
        <v>473</v>
      </c>
      <c r="H2884" s="965" t="s">
        <v>1328</v>
      </c>
      <c r="I2884" s="254">
        <v>2900</v>
      </c>
      <c r="J2884" s="254">
        <v>8760.0900973491971</v>
      </c>
      <c r="K2884" s="51">
        <f t="shared" si="155"/>
        <v>25404261</v>
      </c>
      <c r="L2884" s="966" t="s">
        <v>172</v>
      </c>
      <c r="M2884" s="966" t="s">
        <v>167</v>
      </c>
      <c r="N2884" s="52" t="str">
        <f>IF(AND('331-CT'!$E$7=TH!H2884,OR(L2884="331",M2884="331")),"331",IF(AND(OR(L2884="131",M2884="131"),H2884='131-CT'!$E$7),"131",""))</f>
        <v/>
      </c>
      <c r="O2884" s="857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65"/>
    </row>
    <row r="2885" spans="1:28" s="900" customFormat="1" ht="15.75" customHeight="1">
      <c r="A2885" s="895" t="str">
        <f>IF(B2885&lt;&gt;"",IF(AND(B2885&gt;=_TM1,B2885&lt;=_TM2,OR(TH!L2885="1111",TH!M2885="1111")),TH!D2885,""),"")</f>
        <v/>
      </c>
      <c r="B2885" s="896">
        <f t="shared" si="153"/>
        <v>2</v>
      </c>
      <c r="C2885" s="897">
        <f t="shared" si="154"/>
        <v>42427</v>
      </c>
      <c r="D2885" s="897" t="s">
        <v>1580</v>
      </c>
      <c r="E2885" s="48">
        <v>42427</v>
      </c>
      <c r="F2885" s="870" t="s">
        <v>964</v>
      </c>
      <c r="G2885" s="871" t="s">
        <v>473</v>
      </c>
      <c r="H2885" s="965" t="s">
        <v>1328</v>
      </c>
      <c r="I2885" s="254">
        <v>240</v>
      </c>
      <c r="J2885" s="254">
        <v>11763.549559297493</v>
      </c>
      <c r="K2885" s="51">
        <f t="shared" si="155"/>
        <v>2823252</v>
      </c>
      <c r="L2885" s="966" t="s">
        <v>172</v>
      </c>
      <c r="M2885" s="966" t="s">
        <v>167</v>
      </c>
      <c r="N2885" s="52" t="str">
        <f>IF(AND('331-CT'!$E$7=TH!H2885,OR(L2885="331",M2885="331")),"331",IF(AND(OR(L2885="131",M2885="131"),H2885='131-CT'!$E$7),"131",""))</f>
        <v/>
      </c>
      <c r="O2885" s="857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65"/>
    </row>
    <row r="2886" spans="1:28" s="900" customFormat="1" ht="15.75" customHeight="1">
      <c r="A2886" s="895" t="str">
        <f>IF(B2886&lt;&gt;"",IF(AND(B2886&gt;=_TM1,B2886&lt;=_TM2,OR(TH!L2886="1111",TH!M2886="1111")),TH!D2886,""),"")</f>
        <v/>
      </c>
      <c r="B2886" s="896">
        <f t="shared" si="153"/>
        <v>2</v>
      </c>
      <c r="C2886" s="897">
        <f t="shared" si="154"/>
        <v>42427</v>
      </c>
      <c r="D2886" s="897" t="s">
        <v>1580</v>
      </c>
      <c r="E2886" s="48">
        <v>42427</v>
      </c>
      <c r="F2886" s="870" t="s">
        <v>965</v>
      </c>
      <c r="G2886" s="871" t="s">
        <v>473</v>
      </c>
      <c r="H2886" s="965" t="s">
        <v>1328</v>
      </c>
      <c r="I2886" s="254">
        <v>23</v>
      </c>
      <c r="J2886" s="254">
        <v>11513.261270801802</v>
      </c>
      <c r="K2886" s="51">
        <f t="shared" si="155"/>
        <v>264805</v>
      </c>
      <c r="L2886" s="966" t="s">
        <v>172</v>
      </c>
      <c r="M2886" s="966" t="s">
        <v>167</v>
      </c>
      <c r="N2886" s="52" t="str">
        <f>IF(AND('331-CT'!$E$7=TH!H2886,OR(L2886="331",M2886="331")),"331",IF(AND(OR(L2886="131",M2886="131"),H2886='131-CT'!$E$7),"131",""))</f>
        <v/>
      </c>
      <c r="O2886" s="857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65"/>
    </row>
    <row r="2887" spans="1:28" s="900" customFormat="1" ht="15.75" customHeight="1">
      <c r="A2887" s="895" t="str">
        <f>IF(B2887&lt;&gt;"",IF(AND(B2887&gt;=_TM1,B2887&lt;=_TM2,OR(TH!L2887="1111",TH!M2887="1111")),TH!D2887,""),"")</f>
        <v/>
      </c>
      <c r="B2887" s="896">
        <f t="shared" si="153"/>
        <v>2</v>
      </c>
      <c r="C2887" s="897">
        <f t="shared" si="154"/>
        <v>42427</v>
      </c>
      <c r="D2887" s="897" t="s">
        <v>1580</v>
      </c>
      <c r="E2887" s="48">
        <v>42427</v>
      </c>
      <c r="F2887" s="870" t="s">
        <v>510</v>
      </c>
      <c r="G2887" s="871" t="s">
        <v>473</v>
      </c>
      <c r="H2887" s="965" t="s">
        <v>1328</v>
      </c>
      <c r="I2887" s="254">
        <v>202</v>
      </c>
      <c r="J2887" s="254">
        <v>10595.537546317601</v>
      </c>
      <c r="K2887" s="51">
        <f t="shared" si="155"/>
        <v>2140299</v>
      </c>
      <c r="L2887" s="966" t="s">
        <v>172</v>
      </c>
      <c r="M2887" s="966" t="s">
        <v>167</v>
      </c>
      <c r="N2887" s="52" t="str">
        <f>IF(AND('331-CT'!$E$7=TH!H2887,OR(L2887="331",M2887="331")),"331",IF(AND(OR(L2887="131",M2887="131"),H2887='131-CT'!$E$7),"131",""))</f>
        <v/>
      </c>
      <c r="O2887" s="857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65"/>
    </row>
    <row r="2888" spans="1:28" s="900" customFormat="1" ht="15.75" customHeight="1">
      <c r="A2888" s="895" t="str">
        <f>IF(B2888&lt;&gt;"",IF(AND(B2888&gt;=_TM1,B2888&lt;=_TM2,OR(TH!L2888="1111",TH!M2888="1111")),TH!D2888,""),"")</f>
        <v/>
      </c>
      <c r="B2888" s="896">
        <f t="shared" si="153"/>
        <v>2</v>
      </c>
      <c r="C2888" s="897">
        <f t="shared" si="154"/>
        <v>42427</v>
      </c>
      <c r="D2888" s="897" t="s">
        <v>1580</v>
      </c>
      <c r="E2888" s="48">
        <v>42427</v>
      </c>
      <c r="F2888" s="870" t="s">
        <v>570</v>
      </c>
      <c r="G2888" s="871" t="s">
        <v>474</v>
      </c>
      <c r="H2888" s="965" t="s">
        <v>1328</v>
      </c>
      <c r="I2888" s="254">
        <v>507</v>
      </c>
      <c r="J2888" s="254">
        <v>8092.654661360687</v>
      </c>
      <c r="K2888" s="51">
        <f t="shared" si="155"/>
        <v>4102976</v>
      </c>
      <c r="L2888" s="966" t="s">
        <v>172</v>
      </c>
      <c r="M2888" s="966" t="s">
        <v>167</v>
      </c>
      <c r="N2888" s="52" t="str">
        <f>IF(AND('331-CT'!$E$7=TH!H2888,OR(L2888="331",M2888="331")),"331",IF(AND(OR(L2888="131",M2888="131"),H2888='131-CT'!$E$7),"131",""))</f>
        <v/>
      </c>
      <c r="O2888" s="857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65"/>
    </row>
    <row r="2889" spans="1:28" s="900" customFormat="1" ht="15.75" customHeight="1">
      <c r="A2889" s="895" t="str">
        <f>IF(B2889&lt;&gt;"",IF(AND(B2889&gt;=_TM1,B2889&lt;=_TM2,OR(TH!L2889="1111",TH!M2889="1111")),TH!D2889,""),"")</f>
        <v/>
      </c>
      <c r="B2889" s="896">
        <f t="shared" si="153"/>
        <v>2</v>
      </c>
      <c r="C2889" s="897">
        <f t="shared" si="154"/>
        <v>42429</v>
      </c>
      <c r="D2889" s="897" t="s">
        <v>1580</v>
      </c>
      <c r="E2889" s="48">
        <v>42429</v>
      </c>
      <c r="F2889" s="870" t="s">
        <v>466</v>
      </c>
      <c r="G2889" s="871" t="s">
        <v>476</v>
      </c>
      <c r="H2889" s="965" t="s">
        <v>1328</v>
      </c>
      <c r="I2889" s="254">
        <v>344</v>
      </c>
      <c r="J2889" s="254">
        <v>5673.2012059023382</v>
      </c>
      <c r="K2889" s="51">
        <f t="shared" si="155"/>
        <v>1951581</v>
      </c>
      <c r="L2889" s="966" t="s">
        <v>172</v>
      </c>
      <c r="M2889" s="966" t="s">
        <v>167</v>
      </c>
      <c r="N2889" s="52" t="str">
        <f>IF(AND('331-CT'!$E$7=TH!H2889,OR(L2889="331",M2889="331")),"331",IF(AND(OR(L2889="131",M2889="131"),H2889='131-CT'!$E$7),"131",""))</f>
        <v/>
      </c>
      <c r="O2889" s="857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65"/>
    </row>
    <row r="2890" spans="1:28" s="900" customFormat="1" ht="15.75" customHeight="1">
      <c r="A2890" s="895" t="str">
        <f>IF(B2890&lt;&gt;"",IF(AND(B2890&gt;=_TM1,B2890&lt;=_TM2,OR(TH!L2890="1111",TH!M2890="1111")),TH!D2890,""),"")</f>
        <v/>
      </c>
      <c r="B2890" s="896">
        <f t="shared" si="153"/>
        <v>2</v>
      </c>
      <c r="C2890" s="897">
        <f t="shared" si="154"/>
        <v>42429</v>
      </c>
      <c r="D2890" s="897" t="s">
        <v>1580</v>
      </c>
      <c r="E2890" s="48">
        <v>42429</v>
      </c>
      <c r="F2890" s="870" t="s">
        <v>966</v>
      </c>
      <c r="G2890" s="871" t="s">
        <v>477</v>
      </c>
      <c r="H2890" s="965" t="s">
        <v>1328</v>
      </c>
      <c r="I2890" s="254">
        <v>204</v>
      </c>
      <c r="J2890" s="254">
        <v>7091.5015073779214</v>
      </c>
      <c r="K2890" s="51">
        <f t="shared" si="155"/>
        <v>1446666</v>
      </c>
      <c r="L2890" s="966" t="s">
        <v>172</v>
      </c>
      <c r="M2890" s="966" t="s">
        <v>167</v>
      </c>
      <c r="N2890" s="52" t="str">
        <f>IF(AND('331-CT'!$E$7=TH!H2890,OR(L2890="331",M2890="331")),"331",IF(AND(OR(L2890="131",M2890="131"),H2890='131-CT'!$E$7),"131",""))</f>
        <v/>
      </c>
      <c r="O2890" s="857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65"/>
    </row>
    <row r="2891" spans="1:28" s="900" customFormat="1" ht="15.75" customHeight="1">
      <c r="A2891" s="895" t="str">
        <f>IF(B2891&lt;&gt;"",IF(AND(B2891&gt;=_TM1,B2891&lt;=_TM2,OR(TH!L2891="1111",TH!M2891="1111")),TH!D2891,""),"")</f>
        <v/>
      </c>
      <c r="B2891" s="896">
        <f t="shared" si="153"/>
        <v>2</v>
      </c>
      <c r="C2891" s="897">
        <f t="shared" si="154"/>
        <v>42429</v>
      </c>
      <c r="D2891" s="897" t="s">
        <v>1580</v>
      </c>
      <c r="E2891" s="48">
        <v>42429</v>
      </c>
      <c r="F2891" s="870" t="s">
        <v>967</v>
      </c>
      <c r="G2891" s="871" t="s">
        <v>477</v>
      </c>
      <c r="H2891" s="965" t="s">
        <v>1328</v>
      </c>
      <c r="I2891" s="254">
        <v>310</v>
      </c>
      <c r="J2891" s="254">
        <v>6674.3543598851029</v>
      </c>
      <c r="K2891" s="51">
        <f t="shared" si="155"/>
        <v>2069050</v>
      </c>
      <c r="L2891" s="966" t="s">
        <v>172</v>
      </c>
      <c r="M2891" s="966" t="s">
        <v>167</v>
      </c>
      <c r="N2891" s="52" t="str">
        <f>IF(AND('331-CT'!$E$7=TH!H2891,OR(L2891="331",M2891="331")),"331",IF(AND(OR(L2891="131",M2891="131"),H2891='131-CT'!$E$7),"131",""))</f>
        <v/>
      </c>
      <c r="O2891" s="857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65"/>
    </row>
    <row r="2892" spans="1:28" s="900" customFormat="1" ht="15.75" customHeight="1">
      <c r="A2892" s="895" t="str">
        <f>IF(B2892&lt;&gt;"",IF(AND(B2892&gt;=_TM1,B2892&lt;=_TM2,OR(TH!L2892="1111",TH!M2892="1111")),TH!D2892,""),"")</f>
        <v/>
      </c>
      <c r="B2892" s="896">
        <f t="shared" si="153"/>
        <v>2</v>
      </c>
      <c r="C2892" s="897">
        <f t="shared" si="154"/>
        <v>42429</v>
      </c>
      <c r="D2892" s="897" t="s">
        <v>1580</v>
      </c>
      <c r="E2892" s="48">
        <v>42429</v>
      </c>
      <c r="F2892" s="870" t="s">
        <v>1468</v>
      </c>
      <c r="G2892" s="871" t="s">
        <v>968</v>
      </c>
      <c r="H2892" s="965" t="s">
        <v>1328</v>
      </c>
      <c r="I2892" s="254">
        <v>2000</v>
      </c>
      <c r="J2892" s="254">
        <v>3253.7477504439876</v>
      </c>
      <c r="K2892" s="51">
        <f t="shared" si="155"/>
        <v>6507496</v>
      </c>
      <c r="L2892" s="966" t="s">
        <v>172</v>
      </c>
      <c r="M2892" s="966" t="s">
        <v>167</v>
      </c>
      <c r="N2892" s="52" t="str">
        <f>IF(AND('331-CT'!$E$7=TH!H2892,OR(L2892="331",M2892="331")),"331",IF(AND(OR(L2892="131",M2892="131"),H2892='131-CT'!$E$7),"131",""))</f>
        <v/>
      </c>
      <c r="O2892" s="857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65"/>
    </row>
    <row r="2893" spans="1:28" s="900" customFormat="1" ht="15.75" customHeight="1">
      <c r="A2893" s="895" t="str">
        <f>IF(B2893&lt;&gt;"",IF(AND(B2893&gt;=_TM1,B2893&lt;=_TM2,OR(TH!L2893="1111",TH!M2893="1111")),TH!D2893,""),"")</f>
        <v/>
      </c>
      <c r="B2893" s="896">
        <f t="shared" si="153"/>
        <v>3</v>
      </c>
      <c r="C2893" s="897">
        <f t="shared" si="154"/>
        <v>42430</v>
      </c>
      <c r="D2893" s="897" t="s">
        <v>1580</v>
      </c>
      <c r="E2893" s="48">
        <v>42430</v>
      </c>
      <c r="F2893" s="870" t="s">
        <v>969</v>
      </c>
      <c r="G2893" s="871" t="s">
        <v>479</v>
      </c>
      <c r="H2893" s="965" t="s">
        <v>1328</v>
      </c>
      <c r="I2893" s="254">
        <v>1600</v>
      </c>
      <c r="J2893" s="254">
        <v>11596.690700300365</v>
      </c>
      <c r="K2893" s="51">
        <f t="shared" si="155"/>
        <v>18554705</v>
      </c>
      <c r="L2893" s="966" t="s">
        <v>172</v>
      </c>
      <c r="M2893" s="966" t="s">
        <v>167</v>
      </c>
      <c r="N2893" s="52" t="str">
        <f>IF(AND('331-CT'!$E$7=TH!H2893,OR(L2893="331",M2893="331")),"331",IF(AND(OR(L2893="131",M2893="131"),H2893='131-CT'!$E$7),"131",""))</f>
        <v/>
      </c>
      <c r="O2893" s="857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65"/>
    </row>
    <row r="2894" spans="1:28" s="900" customFormat="1" ht="15.75" customHeight="1">
      <c r="A2894" s="895" t="str">
        <f>IF(B2894&lt;&gt;"",IF(AND(B2894&gt;=_TM1,B2894&lt;=_TM2,OR(TH!L2894="1111",TH!M2894="1111")),TH!D2894,""),"")</f>
        <v/>
      </c>
      <c r="B2894" s="896">
        <f t="shared" si="153"/>
        <v>3</v>
      </c>
      <c r="C2894" s="897">
        <f t="shared" si="154"/>
        <v>42430</v>
      </c>
      <c r="D2894" s="897" t="s">
        <v>1580</v>
      </c>
      <c r="E2894" s="48">
        <v>42430</v>
      </c>
      <c r="F2894" s="870" t="s">
        <v>933</v>
      </c>
      <c r="G2894" s="871" t="s">
        <v>479</v>
      </c>
      <c r="H2894" s="965" t="s">
        <v>1328</v>
      </c>
      <c r="I2894" s="254">
        <v>55</v>
      </c>
      <c r="J2894" s="254">
        <v>8926.9489563463248</v>
      </c>
      <c r="K2894" s="51">
        <f t="shared" si="155"/>
        <v>490982</v>
      </c>
      <c r="L2894" s="966" t="s">
        <v>172</v>
      </c>
      <c r="M2894" s="966" t="s">
        <v>167</v>
      </c>
      <c r="N2894" s="52" t="str">
        <f>IF(AND('331-CT'!$E$7=TH!H2894,OR(L2894="331",M2894="331")),"331",IF(AND(OR(L2894="131",M2894="131"),H2894='131-CT'!$E$7),"131",""))</f>
        <v/>
      </c>
      <c r="O2894" s="857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65"/>
    </row>
    <row r="2895" spans="1:28" s="900" customFormat="1" ht="15.75" customHeight="1">
      <c r="A2895" s="895" t="str">
        <f>IF(B2895&lt;&gt;"",IF(AND(B2895&gt;=_TM1,B2895&lt;=_TM2,OR(TH!L2895="1111",TH!M2895="1111")),TH!D2895,""),"")</f>
        <v/>
      </c>
      <c r="B2895" s="896">
        <f t="shared" si="153"/>
        <v>3</v>
      </c>
      <c r="C2895" s="897">
        <f t="shared" si="154"/>
        <v>42430</v>
      </c>
      <c r="D2895" s="897" t="s">
        <v>1580</v>
      </c>
      <c r="E2895" s="48">
        <v>42430</v>
      </c>
      <c r="F2895" s="870" t="s">
        <v>970</v>
      </c>
      <c r="G2895" s="871" t="s">
        <v>479</v>
      </c>
      <c r="H2895" s="965" t="s">
        <v>1328</v>
      </c>
      <c r="I2895" s="254">
        <v>55</v>
      </c>
      <c r="J2895" s="254">
        <v>7925.7958023635592</v>
      </c>
      <c r="K2895" s="51">
        <f t="shared" si="155"/>
        <v>435919</v>
      </c>
      <c r="L2895" s="966" t="s">
        <v>172</v>
      </c>
      <c r="M2895" s="966" t="s">
        <v>167</v>
      </c>
      <c r="N2895" s="52" t="str">
        <f>IF(AND('331-CT'!$E$7=TH!H2895,OR(L2895="331",M2895="331")),"331",IF(AND(OR(L2895="131",M2895="131"),H2895='131-CT'!$E$7),"131",""))</f>
        <v/>
      </c>
      <c r="O2895" s="857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65"/>
    </row>
    <row r="2896" spans="1:28" s="900" customFormat="1" ht="15.75" customHeight="1">
      <c r="A2896" s="895" t="str">
        <f>IF(B2896&lt;&gt;"",IF(AND(B2896&gt;=_TM1,B2896&lt;=_TM2,OR(TH!L2896="1111",TH!M2896="1111")),TH!D2896,""),"")</f>
        <v/>
      </c>
      <c r="B2896" s="896">
        <f t="shared" si="153"/>
        <v>3</v>
      </c>
      <c r="C2896" s="897">
        <f t="shared" si="154"/>
        <v>42430</v>
      </c>
      <c r="D2896" s="897" t="s">
        <v>1580</v>
      </c>
      <c r="E2896" s="48">
        <v>42430</v>
      </c>
      <c r="F2896" s="870" t="s">
        <v>971</v>
      </c>
      <c r="G2896" s="871" t="s">
        <v>479</v>
      </c>
      <c r="H2896" s="965" t="s">
        <v>1328</v>
      </c>
      <c r="I2896" s="254">
        <v>1993</v>
      </c>
      <c r="J2896" s="254">
        <v>8843.5195268477619</v>
      </c>
      <c r="K2896" s="51">
        <f t="shared" si="155"/>
        <v>17625134</v>
      </c>
      <c r="L2896" s="966" t="s">
        <v>172</v>
      </c>
      <c r="M2896" s="966" t="s">
        <v>167</v>
      </c>
      <c r="N2896" s="52" t="str">
        <f>IF(AND('331-CT'!$E$7=TH!H2896,OR(L2896="331",M2896="331")),"331",IF(AND(OR(L2896="131",M2896="131"),H2896='131-CT'!$E$7),"131",""))</f>
        <v/>
      </c>
      <c r="O2896" s="857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65"/>
    </row>
    <row r="2897" spans="1:28" s="900" customFormat="1" ht="15.75" customHeight="1">
      <c r="A2897" s="895" t="str">
        <f>IF(B2897&lt;&gt;"",IF(AND(B2897&gt;=_TM1,B2897&lt;=_TM2,OR(TH!L2897="1111",TH!M2897="1111")),TH!D2897,""),"")</f>
        <v/>
      </c>
      <c r="B2897" s="896">
        <f t="shared" si="153"/>
        <v>3</v>
      </c>
      <c r="C2897" s="897">
        <f t="shared" si="154"/>
        <v>42430</v>
      </c>
      <c r="D2897" s="897" t="s">
        <v>1580</v>
      </c>
      <c r="E2897" s="48">
        <v>42430</v>
      </c>
      <c r="F2897" s="870" t="s">
        <v>466</v>
      </c>
      <c r="G2897" s="871" t="s">
        <v>480</v>
      </c>
      <c r="H2897" s="965" t="s">
        <v>1328</v>
      </c>
      <c r="I2897" s="254">
        <v>273</v>
      </c>
      <c r="J2897" s="254">
        <v>5673.2012059023382</v>
      </c>
      <c r="K2897" s="51">
        <f t="shared" si="155"/>
        <v>1548784</v>
      </c>
      <c r="L2897" s="966" t="s">
        <v>172</v>
      </c>
      <c r="M2897" s="966" t="s">
        <v>167</v>
      </c>
      <c r="N2897" s="52" t="str">
        <f>IF(AND('331-CT'!$E$7=TH!H2897,OR(L2897="331",M2897="331")),"331",IF(AND(OR(L2897="131",M2897="131"),H2897='131-CT'!$E$7),"131",""))</f>
        <v/>
      </c>
      <c r="O2897" s="857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65"/>
    </row>
    <row r="2898" spans="1:28" s="900" customFormat="1" ht="15.75" customHeight="1">
      <c r="A2898" s="895" t="str">
        <f>IF(B2898&lt;&gt;"",IF(AND(B2898&gt;=_TM1,B2898&lt;=_TM2,OR(TH!L2898="1111",TH!M2898="1111")),TH!D2898,""),"")</f>
        <v/>
      </c>
      <c r="B2898" s="896">
        <f t="shared" si="153"/>
        <v>3</v>
      </c>
      <c r="C2898" s="897">
        <f t="shared" si="154"/>
        <v>42430</v>
      </c>
      <c r="D2898" s="897" t="s">
        <v>1580</v>
      </c>
      <c r="E2898" s="48">
        <v>42430</v>
      </c>
      <c r="F2898" s="870" t="s">
        <v>972</v>
      </c>
      <c r="G2898" s="871" t="s">
        <v>481</v>
      </c>
      <c r="H2898" s="965" t="s">
        <v>1328</v>
      </c>
      <c r="I2898" s="254">
        <v>78</v>
      </c>
      <c r="J2898" s="254">
        <v>7508.6486548707408</v>
      </c>
      <c r="K2898" s="51">
        <f t="shared" si="155"/>
        <v>585675</v>
      </c>
      <c r="L2898" s="966" t="s">
        <v>172</v>
      </c>
      <c r="M2898" s="966" t="s">
        <v>167</v>
      </c>
      <c r="N2898" s="52" t="str">
        <f>IF(AND('331-CT'!$E$7=TH!H2898,OR(L2898="331",M2898="331")),"331",IF(AND(OR(L2898="131",M2898="131"),H2898='131-CT'!$E$7),"131",""))</f>
        <v/>
      </c>
      <c r="O2898" s="857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65"/>
    </row>
    <row r="2899" spans="1:28" s="900" customFormat="1" ht="15.75" customHeight="1">
      <c r="A2899" s="895" t="str">
        <f>IF(B2899&lt;&gt;"",IF(AND(B2899&gt;=_TM1,B2899&lt;=_TM2,OR(TH!L2899="1111",TH!M2899="1111")),TH!D2899,""),"")</f>
        <v/>
      </c>
      <c r="B2899" s="896">
        <f t="shared" si="153"/>
        <v>3</v>
      </c>
      <c r="C2899" s="897">
        <f t="shared" si="154"/>
        <v>42430</v>
      </c>
      <c r="D2899" s="897" t="s">
        <v>1580</v>
      </c>
      <c r="E2899" s="48">
        <v>42430</v>
      </c>
      <c r="F2899" s="870" t="s">
        <v>973</v>
      </c>
      <c r="G2899" s="871" t="s">
        <v>481</v>
      </c>
      <c r="H2899" s="965" t="s">
        <v>1328</v>
      </c>
      <c r="I2899" s="254">
        <v>85</v>
      </c>
      <c r="J2899" s="254">
        <v>10595.537546317601</v>
      </c>
      <c r="K2899" s="51">
        <f t="shared" si="155"/>
        <v>900621</v>
      </c>
      <c r="L2899" s="966" t="s">
        <v>172</v>
      </c>
      <c r="M2899" s="966" t="s">
        <v>167</v>
      </c>
      <c r="N2899" s="52" t="str">
        <f>IF(AND('331-CT'!$E$7=TH!H2899,OR(L2899="331",M2899="331")),"331",IF(AND(OR(L2899="131",M2899="131"),H2899='131-CT'!$E$7),"131",""))</f>
        <v/>
      </c>
      <c r="O2899" s="857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65"/>
    </row>
    <row r="2900" spans="1:28" s="900" customFormat="1" ht="15.75" customHeight="1">
      <c r="A2900" s="895" t="str">
        <f>IF(B2900&lt;&gt;"",IF(AND(B2900&gt;=_TM1,B2900&lt;=_TM2,OR(TH!L2900="1111",TH!M2900="1111")),TH!D2900,""),"")</f>
        <v/>
      </c>
      <c r="B2900" s="896">
        <f t="shared" si="153"/>
        <v>3</v>
      </c>
      <c r="C2900" s="897">
        <f t="shared" si="154"/>
        <v>42430</v>
      </c>
      <c r="D2900" s="897" t="s">
        <v>1580</v>
      </c>
      <c r="E2900" s="48">
        <v>42430</v>
      </c>
      <c r="F2900" s="870" t="s">
        <v>974</v>
      </c>
      <c r="G2900" s="871" t="s">
        <v>481</v>
      </c>
      <c r="H2900" s="965" t="s">
        <v>1328</v>
      </c>
      <c r="I2900" s="254">
        <v>76</v>
      </c>
      <c r="J2900" s="254">
        <v>15351.015027735737</v>
      </c>
      <c r="K2900" s="51">
        <f t="shared" si="155"/>
        <v>1166677</v>
      </c>
      <c r="L2900" s="966" t="s">
        <v>172</v>
      </c>
      <c r="M2900" s="966" t="s">
        <v>167</v>
      </c>
      <c r="N2900" s="52" t="str">
        <f>IF(AND('331-CT'!$E$7=TH!H2900,OR(L2900="331",M2900="331")),"331",IF(AND(OR(L2900="131",M2900="131"),H2900='131-CT'!$E$7),"131",""))</f>
        <v/>
      </c>
      <c r="O2900" s="857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65"/>
    </row>
    <row r="2901" spans="1:28" s="900" customFormat="1" ht="15.75" customHeight="1">
      <c r="A2901" s="895" t="str">
        <f>IF(B2901&lt;&gt;"",IF(AND(B2901&gt;=_TM1,B2901&lt;=_TM2,OR(TH!L2901="1111",TH!M2901="1111")),TH!D2901,""),"")</f>
        <v/>
      </c>
      <c r="B2901" s="896">
        <f t="shared" si="153"/>
        <v>3</v>
      </c>
      <c r="C2901" s="897">
        <f t="shared" si="154"/>
        <v>42430</v>
      </c>
      <c r="D2901" s="897" t="s">
        <v>1580</v>
      </c>
      <c r="E2901" s="48">
        <v>42430</v>
      </c>
      <c r="F2901" s="870" t="s">
        <v>975</v>
      </c>
      <c r="G2901" s="871" t="s">
        <v>481</v>
      </c>
      <c r="H2901" s="965" t="s">
        <v>1328</v>
      </c>
      <c r="I2901" s="254">
        <v>91</v>
      </c>
      <c r="J2901" s="254">
        <v>22859.663682606479</v>
      </c>
      <c r="K2901" s="51">
        <f t="shared" si="155"/>
        <v>2080229</v>
      </c>
      <c r="L2901" s="966" t="s">
        <v>172</v>
      </c>
      <c r="M2901" s="966" t="s">
        <v>167</v>
      </c>
      <c r="N2901" s="52" t="str">
        <f>IF(AND('331-CT'!$E$7=TH!H2901,OR(L2901="331",M2901="331")),"331",IF(AND(OR(L2901="131",M2901="131"),H2901='131-CT'!$E$7),"131",""))</f>
        <v/>
      </c>
      <c r="O2901" s="857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65"/>
    </row>
    <row r="2902" spans="1:28" s="900" customFormat="1" ht="15.75" customHeight="1">
      <c r="A2902" s="895" t="str">
        <f>IF(B2902&lt;&gt;"",IF(AND(B2902&gt;=_TM1,B2902&lt;=_TM2,OR(TH!L2902="1111",TH!M2902="1111")),TH!D2902,""),"")</f>
        <v/>
      </c>
      <c r="B2902" s="896">
        <f t="shared" si="153"/>
        <v>3</v>
      </c>
      <c r="C2902" s="897">
        <f t="shared" si="154"/>
        <v>42430</v>
      </c>
      <c r="D2902" s="897" t="s">
        <v>1580</v>
      </c>
      <c r="E2902" s="48">
        <v>42430</v>
      </c>
      <c r="F2902" s="870" t="s">
        <v>976</v>
      </c>
      <c r="G2902" s="871" t="s">
        <v>481</v>
      </c>
      <c r="H2902" s="965" t="s">
        <v>1328</v>
      </c>
      <c r="I2902" s="254">
        <v>473</v>
      </c>
      <c r="J2902" s="254">
        <v>4088.0420454296254</v>
      </c>
      <c r="K2902" s="51">
        <f t="shared" si="155"/>
        <v>1933644</v>
      </c>
      <c r="L2902" s="966" t="s">
        <v>172</v>
      </c>
      <c r="M2902" s="966" t="s">
        <v>167</v>
      </c>
      <c r="N2902" s="52" t="str">
        <f>IF(AND('331-CT'!$E$7=TH!H2902,OR(L2902="331",M2902="331")),"331",IF(AND(OR(L2902="131",M2902="131"),H2902='131-CT'!$E$7),"131",""))</f>
        <v/>
      </c>
      <c r="O2902" s="857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65"/>
    </row>
    <row r="2903" spans="1:28" s="900" customFormat="1" ht="15.75" customHeight="1">
      <c r="A2903" s="895" t="str">
        <f>IF(B2903&lt;&gt;"",IF(AND(B2903&gt;=_TM1,B2903&lt;=_TM2,OR(TH!L2903="1111",TH!M2903="1111")),TH!D2903,""),"")</f>
        <v/>
      </c>
      <c r="B2903" s="896">
        <f t="shared" si="153"/>
        <v>3</v>
      </c>
      <c r="C2903" s="897">
        <f t="shared" si="154"/>
        <v>42430</v>
      </c>
      <c r="D2903" s="897" t="s">
        <v>1580</v>
      </c>
      <c r="E2903" s="48">
        <v>42430</v>
      </c>
      <c r="F2903" s="870" t="s">
        <v>977</v>
      </c>
      <c r="G2903" s="871" t="s">
        <v>481</v>
      </c>
      <c r="H2903" s="965" t="s">
        <v>1328</v>
      </c>
      <c r="I2903" s="254">
        <v>470</v>
      </c>
      <c r="J2903" s="254">
        <v>6340.6366418908474</v>
      </c>
      <c r="K2903" s="51">
        <f t="shared" si="155"/>
        <v>2980099</v>
      </c>
      <c r="L2903" s="966" t="s">
        <v>172</v>
      </c>
      <c r="M2903" s="966" t="s">
        <v>167</v>
      </c>
      <c r="N2903" s="52" t="str">
        <f>IF(AND('331-CT'!$E$7=TH!H2903,OR(L2903="331",M2903="331")),"331",IF(AND(OR(L2903="131",M2903="131"),H2903='131-CT'!$E$7),"131",""))</f>
        <v/>
      </c>
      <c r="O2903" s="857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65"/>
    </row>
    <row r="2904" spans="1:28" s="900" customFormat="1" ht="15.75" customHeight="1">
      <c r="A2904" s="895" t="str">
        <f>IF(B2904&lt;&gt;"",IF(AND(B2904&gt;=_TM1,B2904&lt;=_TM2,OR(TH!L2904="1111",TH!M2904="1111")),TH!D2904,""),"")</f>
        <v/>
      </c>
      <c r="B2904" s="896">
        <f t="shared" si="153"/>
        <v>3</v>
      </c>
      <c r="C2904" s="897">
        <f t="shared" si="154"/>
        <v>42430</v>
      </c>
      <c r="D2904" s="897" t="s">
        <v>1580</v>
      </c>
      <c r="E2904" s="48">
        <v>42430</v>
      </c>
      <c r="F2904" s="870" t="s">
        <v>978</v>
      </c>
      <c r="G2904" s="871" t="s">
        <v>481</v>
      </c>
      <c r="H2904" s="965" t="s">
        <v>1328</v>
      </c>
      <c r="I2904" s="254">
        <v>475</v>
      </c>
      <c r="J2904" s="254">
        <v>11429.831841303239</v>
      </c>
      <c r="K2904" s="51">
        <f t="shared" si="155"/>
        <v>5429170</v>
      </c>
      <c r="L2904" s="966" t="s">
        <v>172</v>
      </c>
      <c r="M2904" s="966" t="s">
        <v>167</v>
      </c>
      <c r="N2904" s="52" t="str">
        <f>IF(AND('331-CT'!$E$7=TH!H2904,OR(L2904="331",M2904="331")),"331",IF(AND(OR(L2904="131",M2904="131"),H2904='131-CT'!$E$7),"131",""))</f>
        <v/>
      </c>
      <c r="O2904" s="857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65"/>
    </row>
    <row r="2905" spans="1:28" s="900" customFormat="1" ht="15.75" customHeight="1">
      <c r="A2905" s="895" t="str">
        <f>IF(B2905&lt;&gt;"",IF(AND(B2905&gt;=_TM1,B2905&lt;=_TM2,OR(TH!L2905="1111",TH!M2905="1111")),TH!D2905,""),"")</f>
        <v/>
      </c>
      <c r="B2905" s="896">
        <f t="shared" si="153"/>
        <v>3</v>
      </c>
      <c r="C2905" s="897">
        <f t="shared" si="154"/>
        <v>42434</v>
      </c>
      <c r="D2905" s="897" t="s">
        <v>1580</v>
      </c>
      <c r="E2905" s="48">
        <v>42434</v>
      </c>
      <c r="F2905" s="870" t="s">
        <v>971</v>
      </c>
      <c r="G2905" s="871" t="s">
        <v>482</v>
      </c>
      <c r="H2905" s="965" t="s">
        <v>1328</v>
      </c>
      <c r="I2905" s="254">
        <v>3383</v>
      </c>
      <c r="J2905" s="254">
        <v>8843.5195268477619</v>
      </c>
      <c r="K2905" s="51">
        <f t="shared" si="155"/>
        <v>29917627</v>
      </c>
      <c r="L2905" s="966" t="s">
        <v>172</v>
      </c>
      <c r="M2905" s="966" t="s">
        <v>167</v>
      </c>
      <c r="N2905" s="52" t="str">
        <f>IF(AND('331-CT'!$E$7=TH!H2905,OR(L2905="331",M2905="331")),"331",IF(AND(OR(L2905="131",M2905="131"),H2905='131-CT'!$E$7),"131",""))</f>
        <v/>
      </c>
      <c r="O2905" s="857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65"/>
    </row>
    <row r="2906" spans="1:28" s="900" customFormat="1" ht="15.75" customHeight="1">
      <c r="A2906" s="895" t="str">
        <f>IF(B2906&lt;&gt;"",IF(AND(B2906&gt;=_TM1,B2906&lt;=_TM2,OR(TH!L2906="1111",TH!M2906="1111")),TH!D2906,""),"")</f>
        <v/>
      </c>
      <c r="B2906" s="896">
        <f t="shared" si="153"/>
        <v>3</v>
      </c>
      <c r="C2906" s="897">
        <f t="shared" si="154"/>
        <v>42434</v>
      </c>
      <c r="D2906" s="897" t="s">
        <v>1580</v>
      </c>
      <c r="E2906" s="48">
        <v>42434</v>
      </c>
      <c r="F2906" s="870" t="s">
        <v>1474</v>
      </c>
      <c r="G2906" s="871" t="s">
        <v>483</v>
      </c>
      <c r="H2906" s="965" t="s">
        <v>1328</v>
      </c>
      <c r="I2906" s="254">
        <v>527</v>
      </c>
      <c r="J2906" s="254">
        <v>7925.7958023635592</v>
      </c>
      <c r="K2906" s="51">
        <f t="shared" si="155"/>
        <v>4176894</v>
      </c>
      <c r="L2906" s="966" t="s">
        <v>172</v>
      </c>
      <c r="M2906" s="966" t="s">
        <v>167</v>
      </c>
      <c r="N2906" s="52" t="str">
        <f>IF(AND('331-CT'!$E$7=TH!H2906,OR(L2906="331",M2906="331")),"331",IF(AND(OR(L2906="131",M2906="131"),H2906='131-CT'!$E$7),"131",""))</f>
        <v/>
      </c>
      <c r="O2906" s="857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65"/>
    </row>
    <row r="2907" spans="1:28" s="900" customFormat="1" ht="15.75" customHeight="1">
      <c r="A2907" s="895" t="str">
        <f>IF(B2907&lt;&gt;"",IF(AND(B2907&gt;=_TM1,B2907&lt;=_TM2,OR(TH!L2907="1111",TH!M2907="1111")),TH!D2907,""),"")</f>
        <v/>
      </c>
      <c r="B2907" s="896">
        <f t="shared" si="153"/>
        <v>3</v>
      </c>
      <c r="C2907" s="897">
        <f t="shared" si="154"/>
        <v>42436</v>
      </c>
      <c r="D2907" s="897" t="s">
        <v>1580</v>
      </c>
      <c r="E2907" s="869">
        <v>42436</v>
      </c>
      <c r="F2907" s="967" t="s">
        <v>1470</v>
      </c>
      <c r="G2907" s="871" t="s">
        <v>485</v>
      </c>
      <c r="H2907" s="965" t="s">
        <v>1328</v>
      </c>
      <c r="I2907" s="254">
        <v>500</v>
      </c>
      <c r="J2907" s="254">
        <v>6924.6426483807936</v>
      </c>
      <c r="K2907" s="51">
        <f t="shared" si="155"/>
        <v>3462321</v>
      </c>
      <c r="L2907" s="966" t="s">
        <v>172</v>
      </c>
      <c r="M2907" s="966" t="s">
        <v>167</v>
      </c>
      <c r="N2907" s="52" t="str">
        <f>IF(AND('331-CT'!$E$7=TH!H2907,OR(L2907="331",M2907="331")),"331",IF(AND(OR(L2907="131",M2907="131"),H2907='131-CT'!$E$7),"131",""))</f>
        <v/>
      </c>
      <c r="O2907" s="857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65"/>
    </row>
    <row r="2908" spans="1:28" s="900" customFormat="1" ht="15.75" customHeight="1">
      <c r="A2908" s="895" t="str">
        <f>IF(B2908&lt;&gt;"",IF(AND(B2908&gt;=_TM1,B2908&lt;=_TM2,OR(TH!L2908="1111",TH!M2908="1111")),TH!D2908,""),"")</f>
        <v/>
      </c>
      <c r="B2908" s="896">
        <f t="shared" si="153"/>
        <v>3</v>
      </c>
      <c r="C2908" s="897">
        <f t="shared" si="154"/>
        <v>42436</v>
      </c>
      <c r="D2908" s="897" t="s">
        <v>1580</v>
      </c>
      <c r="E2908" s="869">
        <v>42436</v>
      </c>
      <c r="F2908" s="967" t="s">
        <v>1471</v>
      </c>
      <c r="G2908" s="871" t="s">
        <v>483</v>
      </c>
      <c r="H2908" s="965" t="s">
        <v>1328</v>
      </c>
      <c r="I2908" s="254">
        <v>500</v>
      </c>
      <c r="J2908" s="254">
        <v>6924.6426483807936</v>
      </c>
      <c r="K2908" s="51">
        <f t="shared" si="155"/>
        <v>3462321</v>
      </c>
      <c r="L2908" s="966" t="s">
        <v>172</v>
      </c>
      <c r="M2908" s="966" t="s">
        <v>167</v>
      </c>
      <c r="N2908" s="52" t="str">
        <f>IF(AND('331-CT'!$E$7=TH!H2908,OR(L2908="331",M2908="331")),"331",IF(AND(OR(L2908="131",M2908="131"),H2908='131-CT'!$E$7),"131",""))</f>
        <v/>
      </c>
      <c r="O2908" s="857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65"/>
    </row>
    <row r="2909" spans="1:28" s="900" customFormat="1" ht="15.75" customHeight="1">
      <c r="A2909" s="895" t="str">
        <f>IF(B2909&lt;&gt;"",IF(AND(B2909&gt;=_TM1,B2909&lt;=_TM2,OR(TH!L2909="1111",TH!M2909="1111")),TH!D2909,""),"")</f>
        <v/>
      </c>
      <c r="B2909" s="896">
        <f t="shared" si="153"/>
        <v>3</v>
      </c>
      <c r="C2909" s="897">
        <f t="shared" si="154"/>
        <v>42437</v>
      </c>
      <c r="D2909" s="897" t="s">
        <v>1580</v>
      </c>
      <c r="E2909" s="869">
        <v>42437</v>
      </c>
      <c r="F2909" s="967" t="s">
        <v>670</v>
      </c>
      <c r="G2909" s="871" t="s">
        <v>487</v>
      </c>
      <c r="H2909" s="965" t="s">
        <v>1328</v>
      </c>
      <c r="I2909" s="254">
        <v>511</v>
      </c>
      <c r="J2909" s="254">
        <v>13932.714726260152</v>
      </c>
      <c r="K2909" s="51">
        <f t="shared" si="155"/>
        <v>7119617</v>
      </c>
      <c r="L2909" s="966" t="s">
        <v>172</v>
      </c>
      <c r="M2909" s="966" t="s">
        <v>167</v>
      </c>
      <c r="N2909" s="52" t="str">
        <f>IF(AND('331-CT'!$E$7=TH!H2909,OR(L2909="331",M2909="331")),"331",IF(AND(OR(L2909="131",M2909="131"),H2909='131-CT'!$E$7),"131",""))</f>
        <v/>
      </c>
      <c r="O2909" s="857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65"/>
    </row>
    <row r="2910" spans="1:28" s="900" customFormat="1" ht="15.75" customHeight="1">
      <c r="A2910" s="895" t="str">
        <f>IF(B2910&lt;&gt;"",IF(AND(B2910&gt;=_TM1,B2910&lt;=_TM2,OR(TH!L2910="1111",TH!M2910="1111")),TH!D2910,""),"")</f>
        <v/>
      </c>
      <c r="B2910" s="896">
        <f t="shared" si="153"/>
        <v>3</v>
      </c>
      <c r="C2910" s="897">
        <f t="shared" si="154"/>
        <v>42437</v>
      </c>
      <c r="D2910" s="897" t="s">
        <v>1580</v>
      </c>
      <c r="E2910" s="869">
        <v>42437</v>
      </c>
      <c r="F2910" s="967" t="s">
        <v>894</v>
      </c>
      <c r="G2910" s="871" t="s">
        <v>488</v>
      </c>
      <c r="H2910" s="965" t="s">
        <v>1328</v>
      </c>
      <c r="I2910" s="254">
        <v>500</v>
      </c>
      <c r="J2910" s="254">
        <v>7425.2192253721769</v>
      </c>
      <c r="K2910" s="51">
        <f t="shared" si="155"/>
        <v>3712610</v>
      </c>
      <c r="L2910" s="966" t="s">
        <v>172</v>
      </c>
      <c r="M2910" s="966" t="s">
        <v>167</v>
      </c>
      <c r="N2910" s="52" t="str">
        <f>IF(AND('331-CT'!$E$7=TH!H2910,OR(L2910="331",M2910="331")),"331",IF(AND(OR(L2910="131",M2910="131"),H2910='131-CT'!$E$7),"131",""))</f>
        <v/>
      </c>
      <c r="O2910" s="857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65"/>
    </row>
    <row r="2911" spans="1:28" s="900" customFormat="1" ht="15.75" customHeight="1">
      <c r="A2911" s="895" t="str">
        <f>IF(B2911&lt;&gt;"",IF(AND(B2911&gt;=_TM1,B2911&lt;=_TM2,OR(TH!L2911="1111",TH!M2911="1111")),TH!D2911,""),"")</f>
        <v/>
      </c>
      <c r="B2911" s="896">
        <f t="shared" si="153"/>
        <v>3</v>
      </c>
      <c r="C2911" s="897">
        <f t="shared" si="154"/>
        <v>42439</v>
      </c>
      <c r="D2911" s="897" t="s">
        <v>1580</v>
      </c>
      <c r="E2911" s="869">
        <v>42439</v>
      </c>
      <c r="F2911" s="967" t="s">
        <v>979</v>
      </c>
      <c r="G2911" s="871" t="s">
        <v>489</v>
      </c>
      <c r="H2911" s="965" t="s">
        <v>1328</v>
      </c>
      <c r="I2911" s="254">
        <v>214</v>
      </c>
      <c r="J2911" s="254">
        <v>5840.060064899465</v>
      </c>
      <c r="K2911" s="51">
        <f t="shared" si="155"/>
        <v>1249773</v>
      </c>
      <c r="L2911" s="966" t="s">
        <v>172</v>
      </c>
      <c r="M2911" s="966" t="s">
        <v>167</v>
      </c>
      <c r="N2911" s="52" t="str">
        <f>IF(AND('331-CT'!$E$7=TH!H2911,OR(L2911="331",M2911="331")),"331",IF(AND(OR(L2911="131",M2911="131"),H2911='131-CT'!$E$7),"131",""))</f>
        <v/>
      </c>
      <c r="O2911" s="857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65"/>
    </row>
    <row r="2912" spans="1:28" s="900" customFormat="1" ht="15.75" customHeight="1">
      <c r="A2912" s="895" t="str">
        <f>IF(B2912&lt;&gt;"",IF(AND(B2912&gt;=_TM1,B2912&lt;=_TM2,OR(TH!L2912="1111",TH!M2912="1111")),TH!D2912,""),"")</f>
        <v/>
      </c>
      <c r="B2912" s="896">
        <f t="shared" si="153"/>
        <v>3</v>
      </c>
      <c r="C2912" s="897">
        <f t="shared" si="154"/>
        <v>42439</v>
      </c>
      <c r="D2912" s="897" t="s">
        <v>1580</v>
      </c>
      <c r="E2912" s="869">
        <v>42439</v>
      </c>
      <c r="F2912" s="967" t="s">
        <v>440</v>
      </c>
      <c r="G2912" s="871" t="s">
        <v>489</v>
      </c>
      <c r="H2912" s="965" t="s">
        <v>1328</v>
      </c>
      <c r="I2912" s="254">
        <v>390</v>
      </c>
      <c r="J2912" s="254">
        <v>5339.4834879080827</v>
      </c>
      <c r="K2912" s="51">
        <f t="shared" si="155"/>
        <v>2082399</v>
      </c>
      <c r="L2912" s="966" t="s">
        <v>172</v>
      </c>
      <c r="M2912" s="966" t="s">
        <v>167</v>
      </c>
      <c r="N2912" s="52" t="str">
        <f>IF(AND('331-CT'!$E$7=TH!H2912,OR(L2912="331",M2912="331")),"331",IF(AND(OR(L2912="131",M2912="131"),H2912='131-CT'!$E$7),"131",""))</f>
        <v/>
      </c>
      <c r="O2912" s="857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65"/>
    </row>
    <row r="2913" spans="1:28" s="900" customFormat="1" ht="15.75" customHeight="1">
      <c r="A2913" s="895" t="str">
        <f>IF(B2913&lt;&gt;"",IF(AND(B2913&gt;=_TM1,B2913&lt;=_TM2,OR(TH!L2913="1111",TH!M2913="1111")),TH!D2913,""),"")</f>
        <v/>
      </c>
      <c r="B2913" s="896">
        <f t="shared" si="153"/>
        <v>3</v>
      </c>
      <c r="C2913" s="897">
        <f t="shared" si="154"/>
        <v>42440</v>
      </c>
      <c r="D2913" s="897" t="s">
        <v>1580</v>
      </c>
      <c r="E2913" s="869">
        <v>42440</v>
      </c>
      <c r="F2913" s="967" t="s">
        <v>980</v>
      </c>
      <c r="G2913" s="871" t="s">
        <v>490</v>
      </c>
      <c r="H2913" s="965" t="s">
        <v>1328</v>
      </c>
      <c r="I2913" s="254">
        <v>744</v>
      </c>
      <c r="J2913" s="254">
        <v>3504.0360389396787</v>
      </c>
      <c r="K2913" s="51">
        <f t="shared" si="155"/>
        <v>2607003</v>
      </c>
      <c r="L2913" s="966" t="s">
        <v>172</v>
      </c>
      <c r="M2913" s="966" t="s">
        <v>167</v>
      </c>
      <c r="N2913" s="52" t="str">
        <f>IF(AND('331-CT'!$E$7=TH!H2913,OR(L2913="331",M2913="331")),"331",IF(AND(OR(L2913="131",M2913="131"),H2913='131-CT'!$E$7),"131",""))</f>
        <v/>
      </c>
      <c r="O2913" s="857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65"/>
    </row>
    <row r="2914" spans="1:28" s="900" customFormat="1" ht="15.75" customHeight="1">
      <c r="A2914" s="895" t="str">
        <f>IF(B2914&lt;&gt;"",IF(AND(B2914&gt;=_TM1,B2914&lt;=_TM2,OR(TH!L2914="1111",TH!M2914="1111")),TH!D2914,""),"")</f>
        <v/>
      </c>
      <c r="B2914" s="896">
        <f t="shared" si="153"/>
        <v>3</v>
      </c>
      <c r="C2914" s="897">
        <f t="shared" si="154"/>
        <v>42440</v>
      </c>
      <c r="D2914" s="897" t="s">
        <v>1580</v>
      </c>
      <c r="E2914" s="869">
        <v>42440</v>
      </c>
      <c r="F2914" s="967" t="s">
        <v>1232</v>
      </c>
      <c r="G2914" s="871" t="s">
        <v>491</v>
      </c>
      <c r="H2914" s="965" t="s">
        <v>1328</v>
      </c>
      <c r="I2914" s="254">
        <v>210</v>
      </c>
      <c r="J2914" s="254">
        <v>917.72372448420163</v>
      </c>
      <c r="K2914" s="51">
        <f t="shared" si="155"/>
        <v>192722</v>
      </c>
      <c r="L2914" s="966" t="s">
        <v>172</v>
      </c>
      <c r="M2914" s="966" t="s">
        <v>167</v>
      </c>
      <c r="N2914" s="52" t="str">
        <f>IF(AND('331-CT'!$E$7=TH!H2914,OR(L2914="331",M2914="331")),"331",IF(AND(OR(L2914="131",M2914="131"),H2914='131-CT'!$E$7),"131",""))</f>
        <v/>
      </c>
      <c r="O2914" s="857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65"/>
    </row>
    <row r="2915" spans="1:28" s="900" customFormat="1" ht="15.75" customHeight="1">
      <c r="A2915" s="895" t="str">
        <f>IF(B2915&lt;&gt;"",IF(AND(B2915&gt;=_TM1,B2915&lt;=_TM2,OR(TH!L2915="1111",TH!M2915="1111")),TH!D2915,""),"")</f>
        <v/>
      </c>
      <c r="B2915" s="896">
        <f t="shared" si="153"/>
        <v>3</v>
      </c>
      <c r="C2915" s="897">
        <f t="shared" si="154"/>
        <v>42441</v>
      </c>
      <c r="D2915" s="897" t="s">
        <v>1580</v>
      </c>
      <c r="E2915" s="869">
        <v>42441</v>
      </c>
      <c r="F2915" s="967" t="s">
        <v>688</v>
      </c>
      <c r="G2915" s="871" t="s">
        <v>492</v>
      </c>
      <c r="H2915" s="965" t="s">
        <v>1328</v>
      </c>
      <c r="I2915" s="254">
        <v>843</v>
      </c>
      <c r="J2915" s="254">
        <v>6424.0660713894113</v>
      </c>
      <c r="K2915" s="51">
        <f t="shared" si="155"/>
        <v>5415488</v>
      </c>
      <c r="L2915" s="966" t="s">
        <v>172</v>
      </c>
      <c r="M2915" s="966" t="s">
        <v>167</v>
      </c>
      <c r="N2915" s="52" t="str">
        <f>IF(AND('331-CT'!$E$7=TH!H2915,OR(L2915="331",M2915="331")),"331",IF(AND(OR(L2915="131",M2915="131"),H2915='131-CT'!$E$7),"131",""))</f>
        <v/>
      </c>
      <c r="O2915" s="857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65"/>
    </row>
    <row r="2916" spans="1:28" s="900" customFormat="1" ht="15.75" customHeight="1">
      <c r="A2916" s="895" t="str">
        <f>IF(B2916&lt;&gt;"",IF(AND(B2916&gt;=_TM1,B2916&lt;=_TM2,OR(TH!L2916="1111",TH!M2916="1111")),TH!D2916,""),"")</f>
        <v/>
      </c>
      <c r="B2916" s="896">
        <f t="shared" si="153"/>
        <v>3</v>
      </c>
      <c r="C2916" s="897">
        <f t="shared" si="154"/>
        <v>42441</v>
      </c>
      <c r="D2916" s="897" t="s">
        <v>1580</v>
      </c>
      <c r="E2916" s="869">
        <v>42441</v>
      </c>
      <c r="F2916" s="967" t="s">
        <v>689</v>
      </c>
      <c r="G2916" s="871" t="s">
        <v>492</v>
      </c>
      <c r="H2916" s="965" t="s">
        <v>1328</v>
      </c>
      <c r="I2916" s="254">
        <v>204</v>
      </c>
      <c r="J2916" s="254">
        <v>12013.837847793186</v>
      </c>
      <c r="K2916" s="51">
        <f t="shared" si="155"/>
        <v>2450823</v>
      </c>
      <c r="L2916" s="966" t="s">
        <v>172</v>
      </c>
      <c r="M2916" s="966" t="s">
        <v>167</v>
      </c>
      <c r="N2916" s="52" t="str">
        <f>IF(AND('331-CT'!$E$7=TH!H2916,OR(L2916="331",M2916="331")),"331",IF(AND(OR(L2916="131",M2916="131"),H2916='131-CT'!$E$7),"131",""))</f>
        <v/>
      </c>
      <c r="O2916" s="857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65"/>
    </row>
    <row r="2917" spans="1:28" s="900" customFormat="1" ht="15.75" customHeight="1">
      <c r="A2917" s="895" t="str">
        <f>IF(B2917&lt;&gt;"",IF(AND(B2917&gt;=_TM1,B2917&lt;=_TM2,OR(TH!L2917="1111",TH!M2917="1111")),TH!D2917,""),"")</f>
        <v/>
      </c>
      <c r="B2917" s="896">
        <f t="shared" si="153"/>
        <v>3</v>
      </c>
      <c r="C2917" s="897">
        <f t="shared" si="154"/>
        <v>42441</v>
      </c>
      <c r="D2917" s="897" t="s">
        <v>1580</v>
      </c>
      <c r="E2917" s="869">
        <v>42441</v>
      </c>
      <c r="F2917" s="967" t="s">
        <v>444</v>
      </c>
      <c r="G2917" s="871" t="s">
        <v>493</v>
      </c>
      <c r="H2917" s="965" t="s">
        <v>1328</v>
      </c>
      <c r="I2917" s="254">
        <v>610</v>
      </c>
      <c r="J2917" s="254">
        <v>7592.0780843693046</v>
      </c>
      <c r="K2917" s="51">
        <f t="shared" si="155"/>
        <v>4631168</v>
      </c>
      <c r="L2917" s="966" t="s">
        <v>172</v>
      </c>
      <c r="M2917" s="966" t="s">
        <v>167</v>
      </c>
      <c r="N2917" s="52" t="str">
        <f>IF(AND('331-CT'!$E$7=TH!H2917,OR(L2917="331",M2917="331")),"331",IF(AND(OR(L2917="131",M2917="131"),H2917='131-CT'!$E$7),"131",""))</f>
        <v/>
      </c>
      <c r="O2917" s="857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65"/>
    </row>
    <row r="2918" spans="1:28" s="900" customFormat="1" ht="15.75" customHeight="1">
      <c r="A2918" s="895" t="str">
        <f>IF(B2918&lt;&gt;"",IF(AND(B2918&gt;=_TM1,B2918&lt;=_TM2,OR(TH!L2918="1111",TH!M2918="1111")),TH!D2918,""),"")</f>
        <v/>
      </c>
      <c r="B2918" s="896">
        <f t="shared" si="153"/>
        <v>3</v>
      </c>
      <c r="C2918" s="897">
        <f t="shared" si="154"/>
        <v>42441</v>
      </c>
      <c r="D2918" s="897" t="s">
        <v>1580</v>
      </c>
      <c r="E2918" s="869">
        <v>42441</v>
      </c>
      <c r="F2918" s="967" t="s">
        <v>515</v>
      </c>
      <c r="G2918" s="871" t="s">
        <v>493</v>
      </c>
      <c r="H2918" s="965" t="s">
        <v>1328</v>
      </c>
      <c r="I2918" s="254">
        <v>309</v>
      </c>
      <c r="J2918" s="254">
        <v>6173.7777828937205</v>
      </c>
      <c r="K2918" s="51">
        <f t="shared" si="155"/>
        <v>1907697</v>
      </c>
      <c r="L2918" s="966" t="s">
        <v>172</v>
      </c>
      <c r="M2918" s="966" t="s">
        <v>167</v>
      </c>
      <c r="N2918" s="52" t="str">
        <f>IF(AND('331-CT'!$E$7=TH!H2918,OR(L2918="331",M2918="331")),"331",IF(AND(OR(L2918="131",M2918="131"),H2918='131-CT'!$E$7),"131",""))</f>
        <v/>
      </c>
      <c r="O2918" s="857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65"/>
    </row>
    <row r="2919" spans="1:28" s="900" customFormat="1" ht="15.75" customHeight="1">
      <c r="A2919" s="895" t="str">
        <f>IF(B2919&lt;&gt;"",IF(AND(B2919&gt;=_TM1,B2919&lt;=_TM2,OR(TH!L2919="1111",TH!M2919="1111")),TH!D2919,""),"")</f>
        <v/>
      </c>
      <c r="B2919" s="896">
        <f t="shared" si="153"/>
        <v>3</v>
      </c>
      <c r="C2919" s="897">
        <f t="shared" si="154"/>
        <v>42441</v>
      </c>
      <c r="D2919" s="897" t="s">
        <v>1580</v>
      </c>
      <c r="E2919" s="869">
        <v>42441</v>
      </c>
      <c r="F2919" s="967" t="s">
        <v>982</v>
      </c>
      <c r="G2919" s="871" t="s">
        <v>494</v>
      </c>
      <c r="H2919" s="965" t="s">
        <v>1328</v>
      </c>
      <c r="I2919" s="254">
        <v>201</v>
      </c>
      <c r="J2919" s="254">
        <v>4922.3363404152633</v>
      </c>
      <c r="K2919" s="51">
        <f t="shared" si="155"/>
        <v>989390</v>
      </c>
      <c r="L2919" s="966" t="s">
        <v>172</v>
      </c>
      <c r="M2919" s="966" t="s">
        <v>167</v>
      </c>
      <c r="N2919" s="52" t="str">
        <f>IF(AND('331-CT'!$E$7=TH!H2919,OR(L2919="331",M2919="331")),"331",IF(AND(OR(L2919="131",M2919="131"),H2919='131-CT'!$E$7),"131",""))</f>
        <v/>
      </c>
      <c r="O2919" s="857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65"/>
    </row>
    <row r="2920" spans="1:28" s="900" customFormat="1" ht="15.75" customHeight="1">
      <c r="A2920" s="895" t="str">
        <f>IF(B2920&lt;&gt;"",IF(AND(B2920&gt;=_TM1,B2920&lt;=_TM2,OR(TH!L2920="1111",TH!M2920="1111")),TH!D2920,""),"")</f>
        <v/>
      </c>
      <c r="B2920" s="896">
        <f t="shared" si="153"/>
        <v>3</v>
      </c>
      <c r="C2920" s="897">
        <f t="shared" si="154"/>
        <v>42441</v>
      </c>
      <c r="D2920" s="897" t="s">
        <v>1580</v>
      </c>
      <c r="E2920" s="869">
        <v>42441</v>
      </c>
      <c r="F2920" s="967" t="s">
        <v>983</v>
      </c>
      <c r="G2920" s="871" t="s">
        <v>495</v>
      </c>
      <c r="H2920" s="965" t="s">
        <v>1328</v>
      </c>
      <c r="I2920" s="254">
        <v>50</v>
      </c>
      <c r="J2920" s="254">
        <v>14266.432444254408</v>
      </c>
      <c r="K2920" s="51">
        <f t="shared" si="155"/>
        <v>713322</v>
      </c>
      <c r="L2920" s="966" t="s">
        <v>172</v>
      </c>
      <c r="M2920" s="966" t="s">
        <v>167</v>
      </c>
      <c r="N2920" s="52" t="str">
        <f>IF(AND('331-CT'!$E$7=TH!H2920,OR(L2920="331",M2920="331")),"331",IF(AND(OR(L2920="131",M2920="131"),H2920='131-CT'!$E$7),"131",""))</f>
        <v/>
      </c>
      <c r="O2920" s="857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65"/>
    </row>
    <row r="2921" spans="1:28" s="900" customFormat="1" ht="15.75" customHeight="1">
      <c r="A2921" s="895" t="str">
        <f>IF(B2921&lt;&gt;"",IF(AND(B2921&gt;=_TM1,B2921&lt;=_TM2,OR(TH!L2921="1111",TH!M2921="1111")),TH!D2921,""),"")</f>
        <v/>
      </c>
      <c r="B2921" s="896">
        <f t="shared" si="153"/>
        <v>3</v>
      </c>
      <c r="C2921" s="897">
        <f t="shared" si="154"/>
        <v>42441</v>
      </c>
      <c r="D2921" s="897" t="s">
        <v>1580</v>
      </c>
      <c r="E2921" s="869">
        <v>42441</v>
      </c>
      <c r="F2921" s="967" t="s">
        <v>984</v>
      </c>
      <c r="G2921" s="871" t="s">
        <v>495</v>
      </c>
      <c r="H2921" s="965" t="s">
        <v>1328</v>
      </c>
      <c r="I2921" s="254">
        <v>400</v>
      </c>
      <c r="J2921" s="254">
        <v>11429.831841303239</v>
      </c>
      <c r="K2921" s="51">
        <f t="shared" si="155"/>
        <v>4571933</v>
      </c>
      <c r="L2921" s="966" t="s">
        <v>172</v>
      </c>
      <c r="M2921" s="966" t="s">
        <v>167</v>
      </c>
      <c r="N2921" s="52" t="str">
        <f>IF(AND('331-CT'!$E$7=TH!H2921,OR(L2921="331",M2921="331")),"331",IF(AND(OR(L2921="131",M2921="131"),H2921='131-CT'!$E$7),"131",""))</f>
        <v/>
      </c>
      <c r="O2921" s="857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65"/>
    </row>
    <row r="2922" spans="1:28" s="900" customFormat="1" ht="15.75" customHeight="1">
      <c r="A2922" s="895" t="str">
        <f>IF(B2922&lt;&gt;"",IF(AND(B2922&gt;=_TM1,B2922&lt;=_TM2,OR(TH!L2922="1111",TH!M2922="1111")),TH!D2922,""),"")</f>
        <v/>
      </c>
      <c r="B2922" s="896">
        <f t="shared" si="153"/>
        <v>3</v>
      </c>
      <c r="C2922" s="897">
        <f t="shared" si="154"/>
        <v>42445</v>
      </c>
      <c r="D2922" s="897" t="s">
        <v>1580</v>
      </c>
      <c r="E2922" s="869">
        <v>42445</v>
      </c>
      <c r="F2922" s="967" t="s">
        <v>448</v>
      </c>
      <c r="G2922" s="871" t="s">
        <v>496</v>
      </c>
      <c r="H2922" s="965" t="s">
        <v>1328</v>
      </c>
      <c r="I2922" s="254">
        <v>93</v>
      </c>
      <c r="J2922" s="254">
        <v>60486.336386458745</v>
      </c>
      <c r="K2922" s="51">
        <f t="shared" si="155"/>
        <v>5625229</v>
      </c>
      <c r="L2922" s="966" t="s">
        <v>172</v>
      </c>
      <c r="M2922" s="966" t="s">
        <v>167</v>
      </c>
      <c r="N2922" s="52" t="str">
        <f>IF(AND('331-CT'!$E$7=TH!H2922,OR(L2922="331",M2922="331")),"331",IF(AND(OR(L2922="131",M2922="131"),H2922='131-CT'!$E$7),"131",""))</f>
        <v/>
      </c>
      <c r="O2922" s="857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65"/>
    </row>
    <row r="2923" spans="1:28" s="900" customFormat="1" ht="15.75" customHeight="1">
      <c r="A2923" s="895" t="str">
        <f>IF(B2923&lt;&gt;"",IF(AND(B2923&gt;=_TM1,B2923&lt;=_TM2,OR(TH!L2923="1111",TH!M2923="1111")),TH!D2923,""),"")</f>
        <v/>
      </c>
      <c r="B2923" s="896">
        <f t="shared" si="153"/>
        <v>3</v>
      </c>
      <c r="C2923" s="897">
        <f t="shared" si="154"/>
        <v>42448</v>
      </c>
      <c r="D2923" s="897" t="s">
        <v>1580</v>
      </c>
      <c r="E2923" s="869">
        <v>42448</v>
      </c>
      <c r="F2923" s="967" t="s">
        <v>471</v>
      </c>
      <c r="G2923" s="871" t="s">
        <v>497</v>
      </c>
      <c r="H2923" s="965" t="s">
        <v>1328</v>
      </c>
      <c r="I2923" s="254">
        <v>604</v>
      </c>
      <c r="J2923" s="254">
        <v>13181.849860773078</v>
      </c>
      <c r="K2923" s="51">
        <f t="shared" si="155"/>
        <v>7961837</v>
      </c>
      <c r="L2923" s="966" t="s">
        <v>172</v>
      </c>
      <c r="M2923" s="966" t="s">
        <v>167</v>
      </c>
      <c r="N2923" s="52" t="str">
        <f>IF(AND('331-CT'!$E$7=TH!H2923,OR(L2923="331",M2923="331")),"331",IF(AND(OR(L2923="131",M2923="131"),H2923='131-CT'!$E$7),"131",""))</f>
        <v/>
      </c>
      <c r="O2923" s="857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65"/>
    </row>
    <row r="2924" spans="1:28" s="900" customFormat="1" ht="15.75" customHeight="1">
      <c r="A2924" s="895" t="str">
        <f>IF(B2924&lt;&gt;"",IF(AND(B2924&gt;=_TM1,B2924&lt;=_TM2,OR(TH!L2924="1111",TH!M2924="1111")),TH!D2924,""),"")</f>
        <v/>
      </c>
      <c r="B2924" s="896">
        <f t="shared" si="153"/>
        <v>3</v>
      </c>
      <c r="C2924" s="897">
        <f t="shared" si="154"/>
        <v>42448</v>
      </c>
      <c r="D2924" s="897" t="s">
        <v>1580</v>
      </c>
      <c r="E2924" s="869">
        <v>42448</v>
      </c>
      <c r="F2924" s="967" t="s">
        <v>419</v>
      </c>
      <c r="G2924" s="871" t="s">
        <v>497</v>
      </c>
      <c r="H2924" s="965" t="s">
        <v>1328</v>
      </c>
      <c r="I2924" s="254">
        <v>1255</v>
      </c>
      <c r="J2924" s="254">
        <v>6841.2132188822297</v>
      </c>
      <c r="K2924" s="51">
        <f t="shared" si="155"/>
        <v>8585723</v>
      </c>
      <c r="L2924" s="966" t="s">
        <v>172</v>
      </c>
      <c r="M2924" s="966" t="s">
        <v>167</v>
      </c>
      <c r="N2924" s="52" t="str">
        <f>IF(AND('331-CT'!$E$7=TH!H2924,OR(L2924="331",M2924="331")),"331",IF(AND(OR(L2924="131",M2924="131"),H2924='131-CT'!$E$7),"131",""))</f>
        <v/>
      </c>
      <c r="O2924" s="857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65"/>
    </row>
    <row r="2925" spans="1:28" s="900" customFormat="1" ht="15.75" customHeight="1">
      <c r="A2925" s="895" t="str">
        <f>IF(B2925&lt;&gt;"",IF(AND(B2925&gt;=_TM1,B2925&lt;=_TM2,OR(TH!L2925="1111",TH!M2925="1111")),TH!D2925,""),"")</f>
        <v/>
      </c>
      <c r="B2925" s="896">
        <f t="shared" si="153"/>
        <v>3</v>
      </c>
      <c r="C2925" s="897">
        <f t="shared" si="154"/>
        <v>42448</v>
      </c>
      <c r="D2925" s="897" t="s">
        <v>1580</v>
      </c>
      <c r="E2925" s="869">
        <v>42448</v>
      </c>
      <c r="F2925" s="967" t="s">
        <v>985</v>
      </c>
      <c r="G2925" s="871" t="s">
        <v>498</v>
      </c>
      <c r="H2925" s="965" t="s">
        <v>1328</v>
      </c>
      <c r="I2925" s="254">
        <v>209</v>
      </c>
      <c r="J2925" s="254">
        <v>5840.060064899465</v>
      </c>
      <c r="K2925" s="51">
        <f t="shared" si="155"/>
        <v>1220573</v>
      </c>
      <c r="L2925" s="966" t="s">
        <v>172</v>
      </c>
      <c r="M2925" s="966" t="s">
        <v>167</v>
      </c>
      <c r="N2925" s="52" t="str">
        <f>IF(AND('331-CT'!$E$7=TH!H2925,OR(L2925="331",M2925="331")),"331",IF(AND(OR(L2925="131",M2925="131"),H2925='131-CT'!$E$7),"131",""))</f>
        <v/>
      </c>
      <c r="O2925" s="857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65"/>
    </row>
    <row r="2926" spans="1:28" s="900" customFormat="1" ht="15.75" customHeight="1">
      <c r="A2926" s="895" t="str">
        <f>IF(B2926&lt;&gt;"",IF(AND(B2926&gt;=_TM1,B2926&lt;=_TM2,OR(TH!L2926="1111",TH!M2926="1111")),TH!D2926,""),"")</f>
        <v/>
      </c>
      <c r="B2926" s="896">
        <f t="shared" si="153"/>
        <v>3</v>
      </c>
      <c r="C2926" s="897">
        <f t="shared" si="154"/>
        <v>42448</v>
      </c>
      <c r="D2926" s="897" t="s">
        <v>1580</v>
      </c>
      <c r="E2926" s="869">
        <v>42448</v>
      </c>
      <c r="F2926" s="967" t="s">
        <v>657</v>
      </c>
      <c r="G2926" s="871" t="s">
        <v>498</v>
      </c>
      <c r="H2926" s="965" t="s">
        <v>1328</v>
      </c>
      <c r="I2926" s="254">
        <v>500</v>
      </c>
      <c r="J2926" s="254">
        <v>6257.2072123922844</v>
      </c>
      <c r="K2926" s="51">
        <f t="shared" si="155"/>
        <v>3128604</v>
      </c>
      <c r="L2926" s="966" t="s">
        <v>172</v>
      </c>
      <c r="M2926" s="966" t="s">
        <v>167</v>
      </c>
      <c r="N2926" s="52" t="str">
        <f>IF(AND('331-CT'!$E$7=TH!H2926,OR(L2926="331",M2926="331")),"331",IF(AND(OR(L2926="131",M2926="131"),H2926='131-CT'!$E$7),"131",""))</f>
        <v/>
      </c>
      <c r="O2926" s="857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65"/>
    </row>
    <row r="2927" spans="1:28" s="900" customFormat="1" ht="15.75" customHeight="1">
      <c r="A2927" s="895" t="str">
        <f>IF(B2927&lt;&gt;"",IF(AND(B2927&gt;=_TM1,B2927&lt;=_TM2,OR(TH!L2927="1111",TH!M2927="1111")),TH!D2927,""),"")</f>
        <v/>
      </c>
      <c r="B2927" s="896">
        <f t="shared" si="153"/>
        <v>3</v>
      </c>
      <c r="C2927" s="897">
        <f t="shared" si="154"/>
        <v>42450</v>
      </c>
      <c r="D2927" s="897" t="s">
        <v>1580</v>
      </c>
      <c r="E2927" s="869">
        <v>42450</v>
      </c>
      <c r="F2927" s="967" t="s">
        <v>986</v>
      </c>
      <c r="G2927" s="871" t="s">
        <v>499</v>
      </c>
      <c r="H2927" s="965" t="s">
        <v>1328</v>
      </c>
      <c r="I2927" s="254">
        <v>108</v>
      </c>
      <c r="J2927" s="254">
        <v>18688.19220767829</v>
      </c>
      <c r="K2927" s="51">
        <f t="shared" si="155"/>
        <v>2018325</v>
      </c>
      <c r="L2927" s="966" t="s">
        <v>172</v>
      </c>
      <c r="M2927" s="966" t="s">
        <v>167</v>
      </c>
      <c r="N2927" s="52" t="str">
        <f>IF(AND('331-CT'!$E$7=TH!H2927,OR(L2927="331",M2927="331")),"331",IF(AND(OR(L2927="131",M2927="131"),H2927='131-CT'!$E$7),"131",""))</f>
        <v/>
      </c>
      <c r="O2927" s="857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65"/>
    </row>
    <row r="2928" spans="1:28" s="900" customFormat="1" ht="15.75" customHeight="1">
      <c r="A2928" s="895" t="str">
        <f>IF(B2928&lt;&gt;"",IF(AND(B2928&gt;=_TM1,B2928&lt;=_TM2,OR(TH!L2928="1111",TH!M2928="1111")),TH!D2928,""),"")</f>
        <v/>
      </c>
      <c r="B2928" s="896">
        <f t="shared" si="153"/>
        <v>3</v>
      </c>
      <c r="C2928" s="897">
        <f t="shared" si="154"/>
        <v>42450</v>
      </c>
      <c r="D2928" s="897" t="s">
        <v>1580</v>
      </c>
      <c r="E2928" s="869">
        <v>42450</v>
      </c>
      <c r="F2928" s="967" t="s">
        <v>670</v>
      </c>
      <c r="G2928" s="871" t="s">
        <v>500</v>
      </c>
      <c r="H2928" s="965" t="s">
        <v>1328</v>
      </c>
      <c r="I2928" s="254">
        <v>500</v>
      </c>
      <c r="J2928" s="254">
        <v>13932.714726260152</v>
      </c>
      <c r="K2928" s="51">
        <f t="shared" si="155"/>
        <v>6966357</v>
      </c>
      <c r="L2928" s="966" t="s">
        <v>172</v>
      </c>
      <c r="M2928" s="966" t="s">
        <v>167</v>
      </c>
      <c r="N2928" s="52" t="str">
        <f>IF(AND('331-CT'!$E$7=TH!H2928,OR(L2928="331",M2928="331")),"331",IF(AND(OR(L2928="131",M2928="131"),H2928='131-CT'!$E$7),"131",""))</f>
        <v/>
      </c>
      <c r="O2928" s="857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65"/>
    </row>
    <row r="2929" spans="1:28" s="900" customFormat="1" ht="15.75" customHeight="1">
      <c r="A2929" s="895" t="str">
        <f>IF(B2929&lt;&gt;"",IF(AND(B2929&gt;=_TM1,B2929&lt;=_TM2,OR(TH!L2929="1111",TH!M2929="1111")),TH!D2929,""),"")</f>
        <v/>
      </c>
      <c r="B2929" s="896">
        <f t="shared" si="153"/>
        <v>3</v>
      </c>
      <c r="C2929" s="897">
        <f t="shared" si="154"/>
        <v>42450</v>
      </c>
      <c r="D2929" s="897" t="s">
        <v>1580</v>
      </c>
      <c r="E2929" s="869">
        <v>42450</v>
      </c>
      <c r="F2929" s="967" t="s">
        <v>445</v>
      </c>
      <c r="G2929" s="871" t="s">
        <v>501</v>
      </c>
      <c r="H2929" s="965" t="s">
        <v>1328</v>
      </c>
      <c r="I2929" s="254">
        <v>301</v>
      </c>
      <c r="J2929" s="254">
        <v>11179.543552807549</v>
      </c>
      <c r="K2929" s="51">
        <f t="shared" si="155"/>
        <v>3365043</v>
      </c>
      <c r="L2929" s="966" t="s">
        <v>172</v>
      </c>
      <c r="M2929" s="966" t="s">
        <v>167</v>
      </c>
      <c r="N2929" s="52" t="str">
        <f>IF(AND('331-CT'!$E$7=TH!H2929,OR(L2929="331",M2929="331")),"331",IF(AND(OR(L2929="131",M2929="131"),H2929='131-CT'!$E$7),"131",""))</f>
        <v/>
      </c>
      <c r="O2929" s="857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65"/>
    </row>
    <row r="2930" spans="1:28" s="900" customFormat="1" ht="15.75" customHeight="1">
      <c r="A2930" s="895" t="str">
        <f>IF(B2930&lt;&gt;"",IF(AND(B2930&gt;=_TM1,B2930&lt;=_TM2,OR(TH!L2930="1111",TH!M2930="1111")),TH!D2930,""),"")</f>
        <v/>
      </c>
      <c r="B2930" s="896">
        <f t="shared" si="153"/>
        <v>3</v>
      </c>
      <c r="C2930" s="897">
        <f t="shared" si="154"/>
        <v>42451</v>
      </c>
      <c r="D2930" s="897" t="s">
        <v>1580</v>
      </c>
      <c r="E2930" s="869">
        <v>42451</v>
      </c>
      <c r="F2930" s="967" t="s">
        <v>987</v>
      </c>
      <c r="G2930" s="871" t="s">
        <v>502</v>
      </c>
      <c r="H2930" s="965" t="s">
        <v>1328</v>
      </c>
      <c r="I2930" s="254">
        <v>544</v>
      </c>
      <c r="J2930" s="254">
        <v>7592.0780843693046</v>
      </c>
      <c r="K2930" s="51">
        <f t="shared" si="155"/>
        <v>4130090</v>
      </c>
      <c r="L2930" s="966" t="s">
        <v>172</v>
      </c>
      <c r="M2930" s="966" t="s">
        <v>167</v>
      </c>
      <c r="N2930" s="52" t="str">
        <f>IF(AND('331-CT'!$E$7=TH!H2930,OR(L2930="331",M2930="331")),"331",IF(AND(OR(L2930="131",M2930="131"),H2930='131-CT'!$E$7),"131",""))</f>
        <v/>
      </c>
      <c r="O2930" s="857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65"/>
    </row>
    <row r="2931" spans="1:28" s="900" customFormat="1" ht="15.75" customHeight="1">
      <c r="A2931" s="895" t="str">
        <f>IF(B2931&lt;&gt;"",IF(AND(B2931&gt;=_TM1,B2931&lt;=_TM2,OR(TH!L2931="1111",TH!M2931="1111")),TH!D2931,""),"")</f>
        <v/>
      </c>
      <c r="B2931" s="896">
        <f t="shared" si="153"/>
        <v>3</v>
      </c>
      <c r="C2931" s="897">
        <f t="shared" si="154"/>
        <v>42452</v>
      </c>
      <c r="D2931" s="897" t="s">
        <v>1580</v>
      </c>
      <c r="E2931" s="869">
        <v>42452</v>
      </c>
      <c r="F2931" s="967" t="s">
        <v>419</v>
      </c>
      <c r="G2931" s="871" t="s">
        <v>505</v>
      </c>
      <c r="H2931" s="965" t="s">
        <v>1328</v>
      </c>
      <c r="I2931" s="254">
        <v>1310</v>
      </c>
      <c r="J2931" s="254">
        <v>6841.2132188822297</v>
      </c>
      <c r="K2931" s="51">
        <f t="shared" si="155"/>
        <v>8961989</v>
      </c>
      <c r="L2931" s="966" t="s">
        <v>172</v>
      </c>
      <c r="M2931" s="966" t="s">
        <v>167</v>
      </c>
      <c r="N2931" s="52" t="str">
        <f>IF(AND('331-CT'!$E$7=TH!H2931,OR(L2931="331",M2931="331")),"331",IF(AND(OR(L2931="131",M2931="131"),H2931='131-CT'!$E$7),"131",""))</f>
        <v/>
      </c>
      <c r="O2931" s="857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65"/>
    </row>
    <row r="2932" spans="1:28" s="900" customFormat="1" ht="15.75" customHeight="1">
      <c r="A2932" s="895" t="str">
        <f>IF(B2932&lt;&gt;"",IF(AND(B2932&gt;=_TM1,B2932&lt;=_TM2,OR(TH!L2932="1111",TH!M2932="1111")),TH!D2932,""),"")</f>
        <v/>
      </c>
      <c r="B2932" s="896">
        <f t="shared" si="153"/>
        <v>3</v>
      </c>
      <c r="C2932" s="897">
        <f t="shared" si="154"/>
        <v>42452</v>
      </c>
      <c r="D2932" s="897" t="s">
        <v>1580</v>
      </c>
      <c r="E2932" s="869">
        <v>42452</v>
      </c>
      <c r="F2932" s="967" t="s">
        <v>988</v>
      </c>
      <c r="G2932" s="871" t="s">
        <v>506</v>
      </c>
      <c r="H2932" s="965" t="s">
        <v>1328</v>
      </c>
      <c r="I2932" s="254">
        <v>200</v>
      </c>
      <c r="J2932" s="254">
        <v>6424.0660713894113</v>
      </c>
      <c r="K2932" s="51">
        <f t="shared" si="155"/>
        <v>1284813</v>
      </c>
      <c r="L2932" s="966" t="s">
        <v>172</v>
      </c>
      <c r="M2932" s="966" t="s">
        <v>167</v>
      </c>
      <c r="N2932" s="52" t="str">
        <f>IF(AND('331-CT'!$E$7=TH!H2932,OR(L2932="331",M2932="331")),"331",IF(AND(OR(L2932="131",M2932="131"),H2932='131-CT'!$E$7),"131",""))</f>
        <v/>
      </c>
      <c r="O2932" s="857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65"/>
    </row>
    <row r="2933" spans="1:28" s="900" customFormat="1" ht="15.75" customHeight="1">
      <c r="A2933" s="895" t="str">
        <f>IF(B2933&lt;&gt;"",IF(AND(B2933&gt;=_TM1,B2933&lt;=_TM2,OR(TH!L2933="1111",TH!M2933="1111")),TH!D2933,""),"")</f>
        <v/>
      </c>
      <c r="B2933" s="896">
        <f t="shared" si="153"/>
        <v>3</v>
      </c>
      <c r="C2933" s="897">
        <f t="shared" si="154"/>
        <v>42452</v>
      </c>
      <c r="D2933" s="897" t="s">
        <v>1580</v>
      </c>
      <c r="E2933" s="869">
        <v>42452</v>
      </c>
      <c r="F2933" s="967" t="s">
        <v>989</v>
      </c>
      <c r="G2933" s="871" t="s">
        <v>508</v>
      </c>
      <c r="H2933" s="965" t="s">
        <v>1328</v>
      </c>
      <c r="I2933" s="254">
        <v>31</v>
      </c>
      <c r="J2933" s="254">
        <v>7258.3603663750491</v>
      </c>
      <c r="K2933" s="51">
        <f t="shared" si="155"/>
        <v>225009</v>
      </c>
      <c r="L2933" s="966" t="s">
        <v>172</v>
      </c>
      <c r="M2933" s="966" t="s">
        <v>167</v>
      </c>
      <c r="N2933" s="52" t="str">
        <f>IF(AND('331-CT'!$E$7=TH!H2933,OR(L2933="331",M2933="331")),"331",IF(AND(OR(L2933="131",M2933="131"),H2933='131-CT'!$E$7),"131",""))</f>
        <v/>
      </c>
      <c r="O2933" s="857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65"/>
    </row>
    <row r="2934" spans="1:28" s="900" customFormat="1" ht="15.75" customHeight="1">
      <c r="A2934" s="895" t="str">
        <f>IF(B2934&lt;&gt;"",IF(AND(B2934&gt;=_TM1,B2934&lt;=_TM2,OR(TH!L2934="1111",TH!M2934="1111")),TH!D2934,""),"")</f>
        <v/>
      </c>
      <c r="B2934" s="896">
        <f t="shared" si="153"/>
        <v>3</v>
      </c>
      <c r="C2934" s="897">
        <f t="shared" si="154"/>
        <v>42452</v>
      </c>
      <c r="D2934" s="897" t="s">
        <v>1580</v>
      </c>
      <c r="E2934" s="869">
        <v>42452</v>
      </c>
      <c r="F2934" s="967" t="s">
        <v>990</v>
      </c>
      <c r="G2934" s="871" t="s">
        <v>508</v>
      </c>
      <c r="H2934" s="965" t="s">
        <v>1328</v>
      </c>
      <c r="I2934" s="254">
        <v>106</v>
      </c>
      <c r="J2934" s="254">
        <v>10762.396405314728</v>
      </c>
      <c r="K2934" s="51">
        <f t="shared" si="155"/>
        <v>1140814</v>
      </c>
      <c r="L2934" s="966" t="s">
        <v>172</v>
      </c>
      <c r="M2934" s="966" t="s">
        <v>167</v>
      </c>
      <c r="N2934" s="52" t="str">
        <f>IF(AND('331-CT'!$E$7=TH!H2934,OR(L2934="331",M2934="331")),"331",IF(AND(OR(L2934="131",M2934="131"),H2934='131-CT'!$E$7),"131",""))</f>
        <v/>
      </c>
      <c r="O2934" s="857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65"/>
    </row>
    <row r="2935" spans="1:28" s="900" customFormat="1" ht="15.75" customHeight="1">
      <c r="A2935" s="895" t="str">
        <f>IF(B2935&lt;&gt;"",IF(AND(B2935&gt;=_TM1,B2935&lt;=_TM2,OR(TH!L2935="1111",TH!M2935="1111")),TH!D2935,""),"")</f>
        <v/>
      </c>
      <c r="B2935" s="896">
        <f t="shared" si="153"/>
        <v>3</v>
      </c>
      <c r="C2935" s="897">
        <f t="shared" si="154"/>
        <v>42452</v>
      </c>
      <c r="D2935" s="897" t="s">
        <v>1580</v>
      </c>
      <c r="E2935" s="869">
        <v>42452</v>
      </c>
      <c r="F2935" s="967" t="s">
        <v>510</v>
      </c>
      <c r="G2935" s="871" t="s">
        <v>508</v>
      </c>
      <c r="H2935" s="965" t="s">
        <v>1328</v>
      </c>
      <c r="I2935" s="254">
        <v>584</v>
      </c>
      <c r="J2935" s="254">
        <v>10595.537546317601</v>
      </c>
      <c r="K2935" s="51">
        <f t="shared" si="155"/>
        <v>6187794</v>
      </c>
      <c r="L2935" s="966" t="s">
        <v>172</v>
      </c>
      <c r="M2935" s="966" t="s">
        <v>167</v>
      </c>
      <c r="N2935" s="52" t="str">
        <f>IF(AND('331-CT'!$E$7=TH!H2935,OR(L2935="331",M2935="331")),"331",IF(AND(OR(L2935="131",M2935="131"),H2935='131-CT'!$E$7),"131",""))</f>
        <v/>
      </c>
      <c r="O2935" s="857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65"/>
    </row>
    <row r="2936" spans="1:28" s="900" customFormat="1" ht="15.75" customHeight="1">
      <c r="A2936" s="895" t="str">
        <f>IF(B2936&lt;&gt;"",IF(AND(B2936&gt;=_TM1,B2936&lt;=_TM2,OR(TH!L2936="1111",TH!M2936="1111")),TH!D2936,""),"")</f>
        <v/>
      </c>
      <c r="B2936" s="896">
        <f t="shared" si="153"/>
        <v>3</v>
      </c>
      <c r="C2936" s="897">
        <f t="shared" si="154"/>
        <v>42452</v>
      </c>
      <c r="D2936" s="897" t="s">
        <v>1580</v>
      </c>
      <c r="E2936" s="869">
        <v>42452</v>
      </c>
      <c r="F2936" s="967" t="s">
        <v>510</v>
      </c>
      <c r="G2936" s="871" t="s">
        <v>509</v>
      </c>
      <c r="H2936" s="965" t="s">
        <v>1328</v>
      </c>
      <c r="I2936" s="254">
        <v>644</v>
      </c>
      <c r="J2936" s="254">
        <v>10595.537546317601</v>
      </c>
      <c r="K2936" s="51">
        <f t="shared" si="155"/>
        <v>6823526</v>
      </c>
      <c r="L2936" s="966" t="s">
        <v>172</v>
      </c>
      <c r="M2936" s="966" t="s">
        <v>167</v>
      </c>
      <c r="N2936" s="52" t="str">
        <f>IF(AND('331-CT'!$E$7=TH!H2936,OR(L2936="331",M2936="331")),"331",IF(AND(OR(L2936="131",M2936="131"),H2936='131-CT'!$E$7),"131",""))</f>
        <v/>
      </c>
      <c r="O2936" s="857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65"/>
    </row>
    <row r="2937" spans="1:28" s="900" customFormat="1" ht="15.75" customHeight="1">
      <c r="A2937" s="895" t="str">
        <f>IF(B2937&lt;&gt;"",IF(AND(B2937&gt;=_TM1,B2937&lt;=_TM2,OR(TH!L2937="1111",TH!M2937="1111")),TH!D2937,""),"")</f>
        <v/>
      </c>
      <c r="B2937" s="896">
        <f t="shared" si="153"/>
        <v>3</v>
      </c>
      <c r="C2937" s="897">
        <f t="shared" si="154"/>
        <v>42452</v>
      </c>
      <c r="D2937" s="897" t="s">
        <v>1580</v>
      </c>
      <c r="E2937" s="869">
        <v>42452</v>
      </c>
      <c r="F2937" s="967" t="s">
        <v>991</v>
      </c>
      <c r="G2937" s="871" t="s">
        <v>509</v>
      </c>
      <c r="H2937" s="965" t="s">
        <v>1328</v>
      </c>
      <c r="I2937" s="254">
        <v>34</v>
      </c>
      <c r="J2937" s="254">
        <v>18604.762778179724</v>
      </c>
      <c r="K2937" s="51">
        <f t="shared" si="155"/>
        <v>632562</v>
      </c>
      <c r="L2937" s="966" t="s">
        <v>172</v>
      </c>
      <c r="M2937" s="966" t="s">
        <v>167</v>
      </c>
      <c r="N2937" s="52" t="str">
        <f>IF(AND('331-CT'!$E$7=TH!H2937,OR(L2937="331",M2937="331")),"331",IF(AND(OR(L2937="131",M2937="131"),H2937='131-CT'!$E$7),"131",""))</f>
        <v/>
      </c>
      <c r="O2937" s="857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65"/>
    </row>
    <row r="2938" spans="1:28" s="900" customFormat="1" ht="15.75" customHeight="1">
      <c r="A2938" s="895" t="str">
        <f>IF(B2938&lt;&gt;"",IF(AND(B2938&gt;=_TM1,B2938&lt;=_TM2,OR(TH!L2938="1111",TH!M2938="1111")),TH!D2938,""),"")</f>
        <v/>
      </c>
      <c r="B2938" s="896">
        <f t="shared" ref="B2938:B3001" si="156">IF(C2938&lt;&gt;"",MONTH(C2938),"")</f>
        <v>3</v>
      </c>
      <c r="C2938" s="897">
        <f t="shared" si="154"/>
        <v>42452</v>
      </c>
      <c r="D2938" s="897" t="s">
        <v>1580</v>
      </c>
      <c r="E2938" s="869">
        <v>42452</v>
      </c>
      <c r="F2938" s="967" t="s">
        <v>1466</v>
      </c>
      <c r="G2938" s="871" t="s">
        <v>513</v>
      </c>
      <c r="H2938" s="965" t="s">
        <v>1328</v>
      </c>
      <c r="I2938" s="254">
        <v>5000</v>
      </c>
      <c r="J2938" s="254">
        <v>9761.2432513319618</v>
      </c>
      <c r="K2938" s="51">
        <f t="shared" si="155"/>
        <v>48806216</v>
      </c>
      <c r="L2938" s="966" t="s">
        <v>172</v>
      </c>
      <c r="M2938" s="966" t="s">
        <v>167</v>
      </c>
      <c r="N2938" s="52" t="str">
        <f>IF(AND('331-CT'!$E$7=TH!H2938,OR(L2938="331",M2938="331")),"331",IF(AND(OR(L2938="131",M2938="131"),H2938='131-CT'!$E$7),"131",""))</f>
        <v/>
      </c>
      <c r="O2938" s="857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65"/>
    </row>
    <row r="2939" spans="1:28" s="900" customFormat="1" ht="15.75" customHeight="1">
      <c r="A2939" s="895" t="str">
        <f>IF(B2939&lt;&gt;"",IF(AND(B2939&gt;=_TM1,B2939&lt;=_TM2,OR(TH!L2939="1111",TH!M2939="1111")),TH!D2939,""),"")</f>
        <v/>
      </c>
      <c r="B2939" s="896">
        <f t="shared" si="156"/>
        <v>3</v>
      </c>
      <c r="C2939" s="897">
        <f t="shared" si="154"/>
        <v>42453</v>
      </c>
      <c r="D2939" s="897" t="s">
        <v>1580</v>
      </c>
      <c r="E2939" s="869">
        <v>42453</v>
      </c>
      <c r="F2939" s="870" t="s">
        <v>676</v>
      </c>
      <c r="G2939" s="871" t="s">
        <v>514</v>
      </c>
      <c r="H2939" s="965" t="s">
        <v>1328</v>
      </c>
      <c r="I2939" s="254">
        <v>1500</v>
      </c>
      <c r="J2939" s="254">
        <v>6590.924930386539</v>
      </c>
      <c r="K2939" s="51">
        <f t="shared" si="155"/>
        <v>9886387</v>
      </c>
      <c r="L2939" s="966" t="s">
        <v>172</v>
      </c>
      <c r="M2939" s="966" t="s">
        <v>167</v>
      </c>
      <c r="N2939" s="52" t="str">
        <f>IF(AND('331-CT'!$E$7=TH!H2939,OR(L2939="331",M2939="331")),"331",IF(AND(OR(L2939="131",M2939="131"),H2939='131-CT'!$E$7),"131",""))</f>
        <v/>
      </c>
      <c r="O2939" s="857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65"/>
    </row>
    <row r="2940" spans="1:28" s="900" customFormat="1" ht="15.75" customHeight="1">
      <c r="A2940" s="895" t="str">
        <f>IF(B2940&lt;&gt;"",IF(AND(B2940&gt;=_TM1,B2940&lt;=_TM2,OR(TH!L2940="1111",TH!M2940="1111")),TH!D2940,""),"")</f>
        <v/>
      </c>
      <c r="B2940" s="896">
        <f t="shared" si="156"/>
        <v>3</v>
      </c>
      <c r="C2940" s="897">
        <f t="shared" si="154"/>
        <v>42453</v>
      </c>
      <c r="D2940" s="897" t="s">
        <v>1580</v>
      </c>
      <c r="E2940" s="869">
        <v>42453</v>
      </c>
      <c r="F2940" s="870" t="s">
        <v>926</v>
      </c>
      <c r="G2940" s="871" t="s">
        <v>514</v>
      </c>
      <c r="H2940" s="965" t="s">
        <v>1328</v>
      </c>
      <c r="I2940" s="254">
        <v>250</v>
      </c>
      <c r="J2940" s="254">
        <v>5506.3423469052104</v>
      </c>
      <c r="K2940" s="51">
        <f t="shared" si="155"/>
        <v>1376586</v>
      </c>
      <c r="L2940" s="966" t="s">
        <v>172</v>
      </c>
      <c r="M2940" s="966" t="s">
        <v>167</v>
      </c>
      <c r="N2940" s="52" t="str">
        <f>IF(AND('331-CT'!$E$7=TH!H2940,OR(L2940="331",M2940="331")),"331",IF(AND(OR(L2940="131",M2940="131"),H2940='131-CT'!$E$7),"131",""))</f>
        <v/>
      </c>
      <c r="O2940" s="857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65"/>
    </row>
    <row r="2941" spans="1:28" s="900" customFormat="1" ht="15.75" customHeight="1">
      <c r="A2941" s="895" t="str">
        <f>IF(B2941&lt;&gt;"",IF(AND(B2941&gt;=_TM1,B2941&lt;=_TM2,OR(TH!L2941="1111",TH!M2941="1111")),TH!D2941,""),"")</f>
        <v/>
      </c>
      <c r="B2941" s="896">
        <f t="shared" si="156"/>
        <v>3</v>
      </c>
      <c r="C2941" s="897">
        <f t="shared" si="154"/>
        <v>42453</v>
      </c>
      <c r="D2941" s="897" t="s">
        <v>1580</v>
      </c>
      <c r="E2941" s="869">
        <v>42453</v>
      </c>
      <c r="F2941" s="870" t="s">
        <v>927</v>
      </c>
      <c r="G2941" s="871" t="s">
        <v>514</v>
      </c>
      <c r="H2941" s="965" t="s">
        <v>1328</v>
      </c>
      <c r="I2941" s="254">
        <v>250</v>
      </c>
      <c r="J2941" s="254">
        <v>5339.4834879080827</v>
      </c>
      <c r="K2941" s="51">
        <f t="shared" si="155"/>
        <v>1334871</v>
      </c>
      <c r="L2941" s="966" t="s">
        <v>172</v>
      </c>
      <c r="M2941" s="966" t="s">
        <v>167</v>
      </c>
      <c r="N2941" s="52" t="str">
        <f>IF(AND('331-CT'!$E$7=TH!H2941,OR(L2941="331",M2941="331")),"331",IF(AND(OR(L2941="131",M2941="131"),H2941='131-CT'!$E$7),"131",""))</f>
        <v/>
      </c>
      <c r="O2941" s="857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765"/>
    </row>
    <row r="2942" spans="1:28" s="900" customFormat="1" ht="15.75" customHeight="1">
      <c r="A2942" s="895" t="str">
        <f>IF(B2942&lt;&gt;"",IF(AND(B2942&gt;=_TM1,B2942&lt;=_TM2,OR(TH!L2942="1111",TH!M2942="1111")),TH!D2942,""),"")</f>
        <v/>
      </c>
      <c r="B2942" s="896">
        <f t="shared" si="156"/>
        <v>3</v>
      </c>
      <c r="C2942" s="897">
        <f t="shared" si="154"/>
        <v>42454</v>
      </c>
      <c r="D2942" s="897" t="s">
        <v>1580</v>
      </c>
      <c r="E2942" s="869">
        <v>42454</v>
      </c>
      <c r="F2942" s="870" t="s">
        <v>640</v>
      </c>
      <c r="G2942" s="871" t="s">
        <v>516</v>
      </c>
      <c r="H2942" s="965" t="s">
        <v>1328</v>
      </c>
      <c r="I2942" s="254">
        <v>150</v>
      </c>
      <c r="J2942" s="254">
        <v>26864.276298537541</v>
      </c>
      <c r="K2942" s="51">
        <f t="shared" si="155"/>
        <v>4029641</v>
      </c>
      <c r="L2942" s="966" t="s">
        <v>172</v>
      </c>
      <c r="M2942" s="966" t="s">
        <v>167</v>
      </c>
      <c r="N2942" s="52" t="str">
        <f>IF(AND('331-CT'!$E$7=TH!H2942,OR(L2942="331",M2942="331")),"331",IF(AND(OR(L2942="131",M2942="131"),H2942='131-CT'!$E$7),"131",""))</f>
        <v/>
      </c>
      <c r="O2942" s="857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65"/>
    </row>
    <row r="2943" spans="1:28" s="900" customFormat="1" ht="15.75" customHeight="1">
      <c r="A2943" s="895" t="str">
        <f>IF(B2943&lt;&gt;"",IF(AND(B2943&gt;=_TM1,B2943&lt;=_TM2,OR(TH!L2943="1111",TH!M2943="1111")),TH!D2943,""),"")</f>
        <v/>
      </c>
      <c r="B2943" s="896">
        <f t="shared" si="156"/>
        <v>3</v>
      </c>
      <c r="C2943" s="897">
        <f t="shared" ref="C2943:C3006" si="157">E2943</f>
        <v>42454</v>
      </c>
      <c r="D2943" s="897" t="s">
        <v>1580</v>
      </c>
      <c r="E2943" s="869">
        <v>42454</v>
      </c>
      <c r="F2943" s="870" t="s">
        <v>466</v>
      </c>
      <c r="G2943" s="871" t="s">
        <v>517</v>
      </c>
      <c r="H2943" s="965" t="s">
        <v>1328</v>
      </c>
      <c r="I2943" s="254">
        <v>1807</v>
      </c>
      <c r="J2943" s="254">
        <v>5673.2012059023382</v>
      </c>
      <c r="K2943" s="51">
        <f t="shared" si="155"/>
        <v>10251475</v>
      </c>
      <c r="L2943" s="966" t="s">
        <v>172</v>
      </c>
      <c r="M2943" s="966" t="s">
        <v>167</v>
      </c>
      <c r="N2943" s="52" t="str">
        <f>IF(AND('331-CT'!$E$7=TH!H2943,OR(L2943="331",M2943="331")),"331",IF(AND(OR(L2943="131",M2943="131"),H2943='131-CT'!$E$7),"131",""))</f>
        <v/>
      </c>
      <c r="O2943" s="857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65"/>
    </row>
    <row r="2944" spans="1:28" s="900" customFormat="1" ht="15.75" customHeight="1">
      <c r="A2944" s="895" t="str">
        <f>IF(B2944&lt;&gt;"",IF(AND(B2944&gt;=_TM1,B2944&lt;=_TM2,OR(TH!L2944="1111",TH!M2944="1111")),TH!D2944,""),"")</f>
        <v/>
      </c>
      <c r="B2944" s="896">
        <f t="shared" si="156"/>
        <v>3</v>
      </c>
      <c r="C2944" s="897">
        <f t="shared" si="157"/>
        <v>42454</v>
      </c>
      <c r="D2944" s="897" t="s">
        <v>1580</v>
      </c>
      <c r="E2944" s="869">
        <v>42454</v>
      </c>
      <c r="F2944" s="870" t="s">
        <v>992</v>
      </c>
      <c r="G2944" s="871" t="s">
        <v>518</v>
      </c>
      <c r="H2944" s="965" t="s">
        <v>1328</v>
      </c>
      <c r="I2944" s="254">
        <v>205</v>
      </c>
      <c r="J2944" s="254">
        <v>16101.879893222811</v>
      </c>
      <c r="K2944" s="51">
        <f t="shared" ref="K2944:K3007" si="158">ROUND(I2944*J2944,0)</f>
        <v>3300885</v>
      </c>
      <c r="L2944" s="966" t="s">
        <v>172</v>
      </c>
      <c r="M2944" s="966" t="s">
        <v>167</v>
      </c>
      <c r="N2944" s="52" t="str">
        <f>IF(AND('331-CT'!$E$7=TH!H2944,OR(L2944="331",M2944="331")),"331",IF(AND(OR(L2944="131",M2944="131"),H2944='131-CT'!$E$7),"131",""))</f>
        <v/>
      </c>
      <c r="O2944" s="857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65"/>
    </row>
    <row r="2945" spans="1:28" s="900" customFormat="1" ht="15.75" customHeight="1">
      <c r="A2945" s="895" t="str">
        <f>IF(B2945&lt;&gt;"",IF(AND(B2945&gt;=_TM1,B2945&lt;=_TM2,OR(TH!L2945="1111",TH!M2945="1111")),TH!D2945,""),"")</f>
        <v/>
      </c>
      <c r="B2945" s="896">
        <f t="shared" si="156"/>
        <v>3</v>
      </c>
      <c r="C2945" s="897">
        <f t="shared" si="157"/>
        <v>42454</v>
      </c>
      <c r="D2945" s="897" t="s">
        <v>1580</v>
      </c>
      <c r="E2945" s="869">
        <v>42454</v>
      </c>
      <c r="F2945" s="870" t="s">
        <v>1232</v>
      </c>
      <c r="G2945" s="871" t="s">
        <v>518</v>
      </c>
      <c r="H2945" s="965" t="s">
        <v>1328</v>
      </c>
      <c r="I2945" s="254">
        <v>1030</v>
      </c>
      <c r="J2945" s="254">
        <v>917.72372448420163</v>
      </c>
      <c r="K2945" s="51">
        <f t="shared" si="158"/>
        <v>945255</v>
      </c>
      <c r="L2945" s="966" t="s">
        <v>172</v>
      </c>
      <c r="M2945" s="966" t="s">
        <v>167</v>
      </c>
      <c r="N2945" s="52" t="str">
        <f>IF(AND('331-CT'!$E$7=TH!H2945,OR(L2945="331",M2945="331")),"331",IF(AND(OR(L2945="131",M2945="131"),H2945='131-CT'!$E$7),"131",""))</f>
        <v/>
      </c>
      <c r="O2945" s="857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65"/>
    </row>
    <row r="2946" spans="1:28" s="900" customFormat="1" ht="15.75" customHeight="1">
      <c r="A2946" s="895" t="str">
        <f>IF(B2946&lt;&gt;"",IF(AND(B2946&gt;=_TM1,B2946&lt;=_TM2,OR(TH!L2946="1111",TH!M2946="1111")),TH!D2946,""),"")</f>
        <v/>
      </c>
      <c r="B2946" s="896">
        <f t="shared" si="156"/>
        <v>3</v>
      </c>
      <c r="C2946" s="897">
        <f t="shared" si="157"/>
        <v>42455</v>
      </c>
      <c r="D2946" s="897" t="s">
        <v>1580</v>
      </c>
      <c r="E2946" s="869">
        <v>42455</v>
      </c>
      <c r="F2946" s="870" t="s">
        <v>1474</v>
      </c>
      <c r="G2946" s="871" t="s">
        <v>519</v>
      </c>
      <c r="H2946" s="965" t="s">
        <v>1328</v>
      </c>
      <c r="I2946" s="254">
        <v>507</v>
      </c>
      <c r="J2946" s="254">
        <v>7925.7958023635592</v>
      </c>
      <c r="K2946" s="51">
        <f t="shared" si="158"/>
        <v>4018378</v>
      </c>
      <c r="L2946" s="966" t="s">
        <v>172</v>
      </c>
      <c r="M2946" s="966" t="s">
        <v>167</v>
      </c>
      <c r="N2946" s="52" t="str">
        <f>IF(AND('331-CT'!$E$7=TH!H2946,OR(L2946="331",M2946="331")),"331",IF(AND(OR(L2946="131",M2946="131"),H2946='131-CT'!$E$7),"131",""))</f>
        <v/>
      </c>
      <c r="O2946" s="857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65"/>
    </row>
    <row r="2947" spans="1:28" s="900" customFormat="1" ht="15.75" customHeight="1">
      <c r="A2947" s="895" t="str">
        <f>IF(B2947&lt;&gt;"",IF(AND(B2947&gt;=_TM1,B2947&lt;=_TM2,OR(TH!L2947="1111",TH!M2947="1111")),TH!D2947,""),"")</f>
        <v/>
      </c>
      <c r="B2947" s="896">
        <f t="shared" si="156"/>
        <v>3</v>
      </c>
      <c r="C2947" s="897">
        <f t="shared" si="157"/>
        <v>42455</v>
      </c>
      <c r="D2947" s="897" t="s">
        <v>1580</v>
      </c>
      <c r="E2947" s="869">
        <v>42455</v>
      </c>
      <c r="F2947" s="870" t="s">
        <v>993</v>
      </c>
      <c r="G2947" s="871" t="s">
        <v>520</v>
      </c>
      <c r="H2947" s="965" t="s">
        <v>1328</v>
      </c>
      <c r="I2947" s="254">
        <v>220</v>
      </c>
      <c r="J2947" s="254">
        <v>19856.204220658179</v>
      </c>
      <c r="K2947" s="51">
        <f t="shared" si="158"/>
        <v>4368365</v>
      </c>
      <c r="L2947" s="966" t="s">
        <v>172</v>
      </c>
      <c r="M2947" s="966" t="s">
        <v>167</v>
      </c>
      <c r="N2947" s="52" t="str">
        <f>IF(AND('331-CT'!$E$7=TH!H2947,OR(L2947="331",M2947="331")),"331",IF(AND(OR(L2947="131",M2947="131"),H2947='131-CT'!$E$7),"131",""))</f>
        <v/>
      </c>
      <c r="O2947" s="857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65"/>
    </row>
    <row r="2948" spans="1:28" s="900" customFormat="1" ht="15.75" customHeight="1">
      <c r="A2948" s="895" t="str">
        <f>IF(B2948&lt;&gt;"",IF(AND(B2948&gt;=_TM1,B2948&lt;=_TM2,OR(TH!L2948="1111",TH!M2948="1111")),TH!D2948,""),"")</f>
        <v/>
      </c>
      <c r="B2948" s="896">
        <f t="shared" si="156"/>
        <v>3</v>
      </c>
      <c r="C2948" s="897">
        <f t="shared" si="157"/>
        <v>42455</v>
      </c>
      <c r="D2948" s="897" t="s">
        <v>1580</v>
      </c>
      <c r="E2948" s="869">
        <v>42455</v>
      </c>
      <c r="F2948" s="870" t="s">
        <v>1468</v>
      </c>
      <c r="G2948" s="871" t="s">
        <v>522</v>
      </c>
      <c r="H2948" s="965" t="s">
        <v>1328</v>
      </c>
      <c r="I2948" s="254">
        <v>3000</v>
      </c>
      <c r="J2948" s="254">
        <v>3253.7477504439876</v>
      </c>
      <c r="K2948" s="51">
        <f t="shared" si="158"/>
        <v>9761243</v>
      </c>
      <c r="L2948" s="966" t="s">
        <v>172</v>
      </c>
      <c r="M2948" s="966" t="s">
        <v>167</v>
      </c>
      <c r="N2948" s="52" t="str">
        <f>IF(AND('331-CT'!$E$7=TH!H2948,OR(L2948="331",M2948="331")),"331",IF(AND(OR(L2948="131",M2948="131"),H2948='131-CT'!$E$7),"131",""))</f>
        <v/>
      </c>
      <c r="O2948" s="857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65"/>
    </row>
    <row r="2949" spans="1:28" s="900" customFormat="1" ht="15.75" customHeight="1">
      <c r="A2949" s="895" t="str">
        <f>IF(B2949&lt;&gt;"",IF(AND(B2949&gt;=_TM1,B2949&lt;=_TM2,OR(TH!L2949="1111",TH!M2949="1111")),TH!D2949,""),"")</f>
        <v/>
      </c>
      <c r="B2949" s="896">
        <f t="shared" si="156"/>
        <v>3</v>
      </c>
      <c r="C2949" s="897">
        <f t="shared" si="157"/>
        <v>42455</v>
      </c>
      <c r="D2949" s="897" t="s">
        <v>1580</v>
      </c>
      <c r="E2949" s="869">
        <v>42455</v>
      </c>
      <c r="F2949" s="870" t="s">
        <v>994</v>
      </c>
      <c r="G2949" s="871" t="s">
        <v>523</v>
      </c>
      <c r="H2949" s="965" t="s">
        <v>1328</v>
      </c>
      <c r="I2949" s="254">
        <v>3750</v>
      </c>
      <c r="J2949" s="254">
        <v>6757.7837893836668</v>
      </c>
      <c r="K2949" s="51">
        <f t="shared" si="158"/>
        <v>25341689</v>
      </c>
      <c r="L2949" s="966" t="s">
        <v>172</v>
      </c>
      <c r="M2949" s="966" t="s">
        <v>167</v>
      </c>
      <c r="N2949" s="52" t="str">
        <f>IF(AND('331-CT'!$E$7=TH!H2949,OR(L2949="331",M2949="331")),"331",IF(AND(OR(L2949="131",M2949="131"),H2949='131-CT'!$E$7),"131",""))</f>
        <v/>
      </c>
      <c r="O2949" s="857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65"/>
    </row>
    <row r="2950" spans="1:28" s="900" customFormat="1" ht="15.75" customHeight="1">
      <c r="A2950" s="895" t="str">
        <f>IF(B2950&lt;&gt;"",IF(AND(B2950&gt;=_TM1,B2950&lt;=_TM2,OR(TH!L2950="1111",TH!M2950="1111")),TH!D2950,""),"")</f>
        <v/>
      </c>
      <c r="B2950" s="896">
        <f t="shared" si="156"/>
        <v>3</v>
      </c>
      <c r="C2950" s="897">
        <f t="shared" si="157"/>
        <v>42456</v>
      </c>
      <c r="D2950" s="897" t="s">
        <v>1580</v>
      </c>
      <c r="E2950" s="869">
        <v>42456</v>
      </c>
      <c r="F2950" s="870" t="s">
        <v>724</v>
      </c>
      <c r="G2950" s="871" t="s">
        <v>524</v>
      </c>
      <c r="H2950" s="965" t="s">
        <v>1328</v>
      </c>
      <c r="I2950" s="254">
        <v>1100</v>
      </c>
      <c r="J2950" s="254">
        <v>1418.3003014755845</v>
      </c>
      <c r="K2950" s="51">
        <f t="shared" si="158"/>
        <v>1560130</v>
      </c>
      <c r="L2950" s="966" t="s">
        <v>172</v>
      </c>
      <c r="M2950" s="966" t="s">
        <v>167</v>
      </c>
      <c r="N2950" s="52" t="str">
        <f>IF(AND('331-CT'!$E$7=TH!H2950,OR(L2950="331",M2950="331")),"331",IF(AND(OR(L2950="131",M2950="131"),H2950='131-CT'!$E$7),"131",""))</f>
        <v/>
      </c>
      <c r="O2950" s="857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65"/>
    </row>
    <row r="2951" spans="1:28" s="827" customFormat="1" ht="15.75" customHeight="1">
      <c r="A2951" s="924" t="str">
        <f>IF(B2951&lt;&gt;"",IF(AND(B2951&gt;=_TM1,B2951&lt;=_TM2,OR(TH!L2951="1111",TH!M2951="1111")),TH!D2951,""),"")</f>
        <v/>
      </c>
      <c r="B2951" s="818">
        <f t="shared" si="156"/>
        <v>4</v>
      </c>
      <c r="C2951" s="819">
        <f t="shared" si="157"/>
        <v>42464</v>
      </c>
      <c r="D2951" s="819" t="s">
        <v>1580</v>
      </c>
      <c r="E2951" s="820">
        <v>42464</v>
      </c>
      <c r="F2951" s="821" t="s">
        <v>1341</v>
      </c>
      <c r="G2951" s="822" t="s">
        <v>527</v>
      </c>
      <c r="H2951" s="823" t="s">
        <v>1328</v>
      </c>
      <c r="I2951" s="824">
        <v>300</v>
      </c>
      <c r="J2951" s="824">
        <v>9291.2001617002134</v>
      </c>
      <c r="K2951" s="868">
        <f t="shared" si="158"/>
        <v>2787360</v>
      </c>
      <c r="L2951" s="931" t="s">
        <v>172</v>
      </c>
      <c r="M2951" s="931" t="s">
        <v>167</v>
      </c>
      <c r="N2951" s="52" t="str">
        <f>IF(AND('331-CT'!$E$7=TH!H2951,OR(L2951="331",M2951="331")),"331",IF(AND(OR(L2951="131",M2951="131"),H2951='131-CT'!$E$7),"131",""))</f>
        <v/>
      </c>
      <c r="O2951" s="857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928"/>
    </row>
    <row r="2952" spans="1:28" s="900" customFormat="1" ht="15.75" customHeight="1">
      <c r="A2952" s="895" t="str">
        <f>IF(B2952&lt;&gt;"",IF(AND(B2952&gt;=_TM1,B2952&lt;=_TM2,OR(TH!L2952="1111",TH!M2952="1111")),TH!D2952,""),"")</f>
        <v/>
      </c>
      <c r="B2952" s="896">
        <f t="shared" si="156"/>
        <v>4</v>
      </c>
      <c r="C2952" s="897">
        <f t="shared" si="157"/>
        <v>42467</v>
      </c>
      <c r="D2952" s="897" t="s">
        <v>1580</v>
      </c>
      <c r="E2952" s="869">
        <v>42467</v>
      </c>
      <c r="F2952" s="870" t="s">
        <v>1474</v>
      </c>
      <c r="G2952" s="871" t="s">
        <v>995</v>
      </c>
      <c r="H2952" s="965" t="s">
        <v>1328</v>
      </c>
      <c r="I2952" s="254">
        <v>292</v>
      </c>
      <c r="J2952" s="254">
        <v>8097.8350033166989</v>
      </c>
      <c r="K2952" s="51">
        <f t="shared" si="158"/>
        <v>2364568</v>
      </c>
      <c r="L2952" s="966" t="s">
        <v>172</v>
      </c>
      <c r="M2952" s="966" t="s">
        <v>167</v>
      </c>
      <c r="N2952" s="52" t="str">
        <f>IF(AND('331-CT'!$E$7=TH!H2952,OR(L2952="331",M2952="331")),"331",IF(AND(OR(L2952="131",M2952="131"),H2952='131-CT'!$E$7),"131",""))</f>
        <v/>
      </c>
      <c r="O2952" s="857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65"/>
    </row>
    <row r="2953" spans="1:28" s="900" customFormat="1" ht="15.75" customHeight="1">
      <c r="A2953" s="895" t="str">
        <f>IF(B2953&lt;&gt;"",IF(AND(B2953&gt;=_TM1,B2953&lt;=_TM2,OR(TH!L2953="1111",TH!M2953="1111")),TH!D2953,""),"")</f>
        <v/>
      </c>
      <c r="B2953" s="896">
        <f t="shared" si="156"/>
        <v>4</v>
      </c>
      <c r="C2953" s="897">
        <f t="shared" si="157"/>
        <v>42467</v>
      </c>
      <c r="D2953" s="897" t="s">
        <v>1580</v>
      </c>
      <c r="E2953" s="869">
        <v>42467</v>
      </c>
      <c r="F2953" s="870" t="s">
        <v>1474</v>
      </c>
      <c r="G2953" s="871" t="s">
        <v>995</v>
      </c>
      <c r="H2953" s="965" t="s">
        <v>1328</v>
      </c>
      <c r="I2953" s="254">
        <v>486</v>
      </c>
      <c r="J2953" s="254">
        <v>8097.8350033166989</v>
      </c>
      <c r="K2953" s="51">
        <f t="shared" si="158"/>
        <v>3935548</v>
      </c>
      <c r="L2953" s="966" t="s">
        <v>172</v>
      </c>
      <c r="M2953" s="966" t="s">
        <v>167</v>
      </c>
      <c r="N2953" s="52" t="str">
        <f>IF(AND('331-CT'!$E$7=TH!H2953,OR(L2953="331",M2953="331")),"331",IF(AND(OR(L2953="131",M2953="131"),H2953='131-CT'!$E$7),"131",""))</f>
        <v/>
      </c>
      <c r="O2953" s="857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65"/>
    </row>
    <row r="2954" spans="1:28" s="900" customFormat="1" ht="15.75" customHeight="1">
      <c r="A2954" s="895" t="str">
        <f>IF(B2954&lt;&gt;"",IF(AND(B2954&gt;=_TM1,B2954&lt;=_TM2,OR(TH!L2954="1111",TH!M2954="1111")),TH!D2954,""),"")</f>
        <v/>
      </c>
      <c r="B2954" s="896">
        <f t="shared" si="156"/>
        <v>4</v>
      </c>
      <c r="C2954" s="897">
        <f t="shared" si="157"/>
        <v>42467</v>
      </c>
      <c r="D2954" s="897" t="s">
        <v>1580</v>
      </c>
      <c r="E2954" s="869">
        <v>42467</v>
      </c>
      <c r="F2954" s="870" t="s">
        <v>1474</v>
      </c>
      <c r="G2954" s="871" t="s">
        <v>995</v>
      </c>
      <c r="H2954" s="965" t="s">
        <v>1328</v>
      </c>
      <c r="I2954" s="254">
        <v>303</v>
      </c>
      <c r="J2954" s="254">
        <v>8097.8350033166989</v>
      </c>
      <c r="K2954" s="51">
        <f t="shared" si="158"/>
        <v>2453644</v>
      </c>
      <c r="L2954" s="966" t="s">
        <v>172</v>
      </c>
      <c r="M2954" s="966" t="s">
        <v>167</v>
      </c>
      <c r="N2954" s="52" t="str">
        <f>IF(AND('331-CT'!$E$7=TH!H2954,OR(L2954="331",M2954="331")),"331",IF(AND(OR(L2954="131",M2954="131"),H2954='131-CT'!$E$7),"131",""))</f>
        <v/>
      </c>
      <c r="O2954" s="857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65"/>
    </row>
    <row r="2955" spans="1:28" s="900" customFormat="1" ht="15.75" customHeight="1">
      <c r="A2955" s="895" t="str">
        <f>IF(B2955&lt;&gt;"",IF(AND(B2955&gt;=_TM1,B2955&lt;=_TM2,OR(TH!L2955="1111",TH!M2955="1111")),TH!D2955,""),"")</f>
        <v/>
      </c>
      <c r="B2955" s="896">
        <f t="shared" si="156"/>
        <v>4</v>
      </c>
      <c r="C2955" s="897">
        <f t="shared" si="157"/>
        <v>42467</v>
      </c>
      <c r="D2955" s="897" t="s">
        <v>1580</v>
      </c>
      <c r="E2955" s="869">
        <v>42467</v>
      </c>
      <c r="F2955" s="870" t="s">
        <v>996</v>
      </c>
      <c r="G2955" s="871" t="s">
        <v>528</v>
      </c>
      <c r="H2955" s="965" t="s">
        <v>1328</v>
      </c>
      <c r="I2955" s="254">
        <v>529</v>
      </c>
      <c r="J2955" s="254">
        <v>6733.9891080212556</v>
      </c>
      <c r="K2955" s="51">
        <f t="shared" si="158"/>
        <v>3562280</v>
      </c>
      <c r="L2955" s="966" t="s">
        <v>172</v>
      </c>
      <c r="M2955" s="966" t="s">
        <v>167</v>
      </c>
      <c r="N2955" s="52" t="str">
        <f>IF(AND('331-CT'!$E$7=TH!H2955,OR(L2955="331",M2955="331")),"331",IF(AND(OR(L2955="131",M2955="131"),H2955='131-CT'!$E$7),"131",""))</f>
        <v/>
      </c>
      <c r="O2955" s="857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65"/>
    </row>
    <row r="2956" spans="1:28" s="900" customFormat="1" ht="15.75" customHeight="1">
      <c r="A2956" s="895" t="str">
        <f>IF(B2956&lt;&gt;"",IF(AND(B2956&gt;=_TM1,B2956&lt;=_TM2,OR(TH!L2956="1111",TH!M2956="1111")),TH!D2956,""),"")</f>
        <v/>
      </c>
      <c r="B2956" s="896">
        <f t="shared" si="156"/>
        <v>4</v>
      </c>
      <c r="C2956" s="897">
        <f t="shared" si="157"/>
        <v>42467</v>
      </c>
      <c r="D2956" s="897" t="s">
        <v>1580</v>
      </c>
      <c r="E2956" s="869">
        <v>42467</v>
      </c>
      <c r="F2956" s="870" t="s">
        <v>997</v>
      </c>
      <c r="G2956" s="871" t="s">
        <v>528</v>
      </c>
      <c r="H2956" s="965" t="s">
        <v>1328</v>
      </c>
      <c r="I2956" s="254">
        <v>497</v>
      </c>
      <c r="J2956" s="254">
        <v>8353.5561086845955</v>
      </c>
      <c r="K2956" s="51">
        <f t="shared" si="158"/>
        <v>4151717</v>
      </c>
      <c r="L2956" s="966" t="s">
        <v>172</v>
      </c>
      <c r="M2956" s="966" t="s">
        <v>167</v>
      </c>
      <c r="N2956" s="52" t="str">
        <f>IF(AND('331-CT'!$E$7=TH!H2956,OR(L2956="331",M2956="331")),"331",IF(AND(OR(L2956="131",M2956="131"),H2956='131-CT'!$E$7),"131",""))</f>
        <v/>
      </c>
      <c r="O2956" s="857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65"/>
    </row>
    <row r="2957" spans="1:28" s="900" customFormat="1" ht="15.75" customHeight="1">
      <c r="A2957" s="895" t="str">
        <f>IF(B2957&lt;&gt;"",IF(AND(B2957&gt;=_TM1,B2957&lt;=_TM2,OR(TH!L2957="1111",TH!M2957="1111")),TH!D2957,""),"")</f>
        <v/>
      </c>
      <c r="B2957" s="896">
        <f t="shared" si="156"/>
        <v>4</v>
      </c>
      <c r="C2957" s="897">
        <f t="shared" si="157"/>
        <v>42467</v>
      </c>
      <c r="D2957" s="897" t="s">
        <v>1580</v>
      </c>
      <c r="E2957" s="869">
        <v>42467</v>
      </c>
      <c r="F2957" s="870" t="s">
        <v>987</v>
      </c>
      <c r="G2957" s="871" t="s">
        <v>528</v>
      </c>
      <c r="H2957" s="965" t="s">
        <v>1328</v>
      </c>
      <c r="I2957" s="254">
        <v>516</v>
      </c>
      <c r="J2957" s="254">
        <v>7756.8735294928383</v>
      </c>
      <c r="K2957" s="51">
        <f t="shared" si="158"/>
        <v>4002547</v>
      </c>
      <c r="L2957" s="966" t="s">
        <v>172</v>
      </c>
      <c r="M2957" s="966" t="s">
        <v>167</v>
      </c>
      <c r="N2957" s="52" t="str">
        <f>IF(AND('331-CT'!$E$7=TH!H2957,OR(L2957="331",M2957="331")),"331",IF(AND(OR(L2957="131",M2957="131"),H2957='131-CT'!$E$7),"131",""))</f>
        <v/>
      </c>
      <c r="O2957" s="857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65"/>
    </row>
    <row r="2958" spans="1:28" s="900" customFormat="1" ht="15.75" customHeight="1">
      <c r="A2958" s="895" t="str">
        <f>IF(B2958&lt;&gt;"",IF(AND(B2958&gt;=_TM1,B2958&lt;=_TM2,OR(TH!L2958="1111",TH!M2958="1111")),TH!D2958,""),"")</f>
        <v/>
      </c>
      <c r="B2958" s="896">
        <f t="shared" si="156"/>
        <v>4</v>
      </c>
      <c r="C2958" s="897">
        <f t="shared" si="157"/>
        <v>42468</v>
      </c>
      <c r="D2958" s="897" t="s">
        <v>1580</v>
      </c>
      <c r="E2958" s="869">
        <v>42468</v>
      </c>
      <c r="F2958" s="870" t="s">
        <v>466</v>
      </c>
      <c r="G2958" s="871" t="s">
        <v>530</v>
      </c>
      <c r="H2958" s="965" t="s">
        <v>1328</v>
      </c>
      <c r="I2958" s="254">
        <v>652</v>
      </c>
      <c r="J2958" s="254">
        <v>5796.3450550056377</v>
      </c>
      <c r="K2958" s="51">
        <f t="shared" si="158"/>
        <v>3779217</v>
      </c>
      <c r="L2958" s="966" t="s">
        <v>172</v>
      </c>
      <c r="M2958" s="966" t="s">
        <v>167</v>
      </c>
      <c r="N2958" s="52" t="str">
        <f>IF(AND('331-CT'!$E$7=TH!H2958,OR(L2958="331",M2958="331")),"331",IF(AND(OR(L2958="131",M2958="131"),H2958='131-CT'!$E$7),"131",""))</f>
        <v/>
      </c>
      <c r="O2958" s="857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65"/>
    </row>
    <row r="2959" spans="1:28" s="900" customFormat="1" ht="15.75" customHeight="1">
      <c r="A2959" s="895" t="str">
        <f>IF(B2959&lt;&gt;"",IF(AND(B2959&gt;=_TM1,B2959&lt;=_TM2,OR(TH!L2959="1111",TH!M2959="1111")),TH!D2959,""),"")</f>
        <v/>
      </c>
      <c r="B2959" s="896">
        <f t="shared" si="156"/>
        <v>4</v>
      </c>
      <c r="C2959" s="897">
        <f t="shared" si="157"/>
        <v>42468</v>
      </c>
      <c r="D2959" s="897" t="s">
        <v>1580</v>
      </c>
      <c r="E2959" s="869">
        <v>42468</v>
      </c>
      <c r="F2959" s="870" t="s">
        <v>466</v>
      </c>
      <c r="G2959" s="871" t="s">
        <v>530</v>
      </c>
      <c r="H2959" s="965" t="s">
        <v>1328</v>
      </c>
      <c r="I2959" s="254">
        <v>1495</v>
      </c>
      <c r="J2959" s="254">
        <v>5796.3450550056377</v>
      </c>
      <c r="K2959" s="51">
        <f t="shared" si="158"/>
        <v>8665536</v>
      </c>
      <c r="L2959" s="966" t="s">
        <v>172</v>
      </c>
      <c r="M2959" s="966" t="s">
        <v>167</v>
      </c>
      <c r="N2959" s="52" t="str">
        <f>IF(AND('331-CT'!$E$7=TH!H2959,OR(L2959="331",M2959="331")),"331",IF(AND(OR(L2959="131",M2959="131"),H2959='131-CT'!$E$7),"131",""))</f>
        <v/>
      </c>
      <c r="O2959" s="857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65"/>
    </row>
    <row r="2960" spans="1:28" s="900" customFormat="1" ht="15.75" customHeight="1">
      <c r="A2960" s="895" t="str">
        <f>IF(B2960&lt;&gt;"",IF(AND(B2960&gt;=_TM1,B2960&lt;=_TM2,OR(TH!L2960="1111",TH!M2960="1111")),TH!D2960,""),"")</f>
        <v/>
      </c>
      <c r="B2960" s="896">
        <f t="shared" si="156"/>
        <v>4</v>
      </c>
      <c r="C2960" s="897">
        <f t="shared" si="157"/>
        <v>42468</v>
      </c>
      <c r="D2960" s="897" t="s">
        <v>1580</v>
      </c>
      <c r="E2960" s="869">
        <v>42468</v>
      </c>
      <c r="F2960" s="870" t="s">
        <v>668</v>
      </c>
      <c r="G2960" s="871" t="s">
        <v>532</v>
      </c>
      <c r="H2960" s="965" t="s">
        <v>1328</v>
      </c>
      <c r="I2960" s="254">
        <v>210</v>
      </c>
      <c r="J2960" s="254">
        <v>6819.2294764772205</v>
      </c>
      <c r="K2960" s="51">
        <f t="shared" si="158"/>
        <v>1432038</v>
      </c>
      <c r="L2960" s="966" t="s">
        <v>172</v>
      </c>
      <c r="M2960" s="966" t="s">
        <v>167</v>
      </c>
      <c r="N2960" s="52" t="str">
        <f>IF(AND('331-CT'!$E$7=TH!H2960,OR(L2960="331",M2960="331")),"331",IF(AND(OR(L2960="131",M2960="131"),H2960='131-CT'!$E$7),"131",""))</f>
        <v/>
      </c>
      <c r="O2960" s="857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65"/>
    </row>
    <row r="2961" spans="1:28" s="900" customFormat="1" ht="15.75" customHeight="1">
      <c r="A2961" s="895" t="str">
        <f>IF(B2961&lt;&gt;"",IF(AND(B2961&gt;=_TM1,B2961&lt;=_TM2,OR(TH!L2961="1111",TH!M2961="1111")),TH!D2961,""),"")</f>
        <v/>
      </c>
      <c r="B2961" s="896">
        <f t="shared" si="156"/>
        <v>4</v>
      </c>
      <c r="C2961" s="897">
        <f t="shared" si="157"/>
        <v>42468</v>
      </c>
      <c r="D2961" s="897" t="s">
        <v>1580</v>
      </c>
      <c r="E2961" s="869">
        <v>42468</v>
      </c>
      <c r="F2961" s="870" t="s">
        <v>669</v>
      </c>
      <c r="G2961" s="871" t="s">
        <v>532</v>
      </c>
      <c r="H2961" s="965" t="s">
        <v>1328</v>
      </c>
      <c r="I2961" s="254">
        <v>320</v>
      </c>
      <c r="J2961" s="254">
        <v>7927.3542664047691</v>
      </c>
      <c r="K2961" s="51">
        <f t="shared" si="158"/>
        <v>2536753</v>
      </c>
      <c r="L2961" s="966" t="s">
        <v>172</v>
      </c>
      <c r="M2961" s="966" t="s">
        <v>167</v>
      </c>
      <c r="N2961" s="52" t="str">
        <f>IF(AND('331-CT'!$E$7=TH!H2961,OR(L2961="331",M2961="331")),"331",IF(AND(OR(L2961="131",M2961="131"),H2961='131-CT'!$E$7),"131",""))</f>
        <v/>
      </c>
      <c r="O2961" s="857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65"/>
    </row>
    <row r="2962" spans="1:28" s="900" customFormat="1" ht="15.75" customHeight="1">
      <c r="A2962" s="895" t="str">
        <f>IF(B2962&lt;&gt;"",IF(AND(B2962&gt;=_TM1,B2962&lt;=_TM2,OR(TH!L2962="1111",TH!M2962="1111")),TH!D2962,""),"")</f>
        <v/>
      </c>
      <c r="B2962" s="896">
        <f t="shared" si="156"/>
        <v>4</v>
      </c>
      <c r="C2962" s="897">
        <f t="shared" si="157"/>
        <v>42468</v>
      </c>
      <c r="D2962" s="897" t="s">
        <v>1580</v>
      </c>
      <c r="E2962" s="869">
        <v>42468</v>
      </c>
      <c r="F2962" s="870" t="s">
        <v>1465</v>
      </c>
      <c r="G2962" s="871" t="s">
        <v>533</v>
      </c>
      <c r="H2962" s="965" t="s">
        <v>1328</v>
      </c>
      <c r="I2962" s="254">
        <v>200</v>
      </c>
      <c r="J2962" s="254">
        <v>8694.5175825084552</v>
      </c>
      <c r="K2962" s="51">
        <f t="shared" si="158"/>
        <v>1738904</v>
      </c>
      <c r="L2962" s="966" t="s">
        <v>172</v>
      </c>
      <c r="M2962" s="966" t="s">
        <v>167</v>
      </c>
      <c r="N2962" s="52" t="str">
        <f>IF(AND('331-CT'!$E$7=TH!H2962,OR(L2962="331",M2962="331")),"331",IF(AND(OR(L2962="131",M2962="131"),H2962='131-CT'!$E$7),"131",""))</f>
        <v/>
      </c>
      <c r="O2962" s="857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65"/>
    </row>
    <row r="2963" spans="1:28" s="900" customFormat="1" ht="15.75" customHeight="1">
      <c r="A2963" s="895" t="str">
        <f>IF(B2963&lt;&gt;"",IF(AND(B2963&gt;=_TM1,B2963&lt;=_TM2,OR(TH!L2963="1111",TH!M2963="1111")),TH!D2963,""),"")</f>
        <v/>
      </c>
      <c r="B2963" s="896">
        <f t="shared" si="156"/>
        <v>4</v>
      </c>
      <c r="C2963" s="897">
        <f t="shared" si="157"/>
        <v>42468</v>
      </c>
      <c r="D2963" s="897" t="s">
        <v>1580</v>
      </c>
      <c r="E2963" s="869">
        <v>42468</v>
      </c>
      <c r="F2963" s="870" t="s">
        <v>1466</v>
      </c>
      <c r="G2963" s="871" t="s">
        <v>533</v>
      </c>
      <c r="H2963" s="965" t="s">
        <v>1328</v>
      </c>
      <c r="I2963" s="254">
        <v>200</v>
      </c>
      <c r="J2963" s="254">
        <v>9973.1231093479346</v>
      </c>
      <c r="K2963" s="51">
        <f t="shared" si="158"/>
        <v>1994625</v>
      </c>
      <c r="L2963" s="966" t="s">
        <v>172</v>
      </c>
      <c r="M2963" s="966" t="s">
        <v>167</v>
      </c>
      <c r="N2963" s="52" t="str">
        <f>IF(AND('331-CT'!$E$7=TH!H2963,OR(L2963="331",M2963="331")),"331",IF(AND(OR(L2963="131",M2963="131"),H2963='131-CT'!$E$7),"131",""))</f>
        <v/>
      </c>
      <c r="O2963" s="857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65"/>
    </row>
    <row r="2964" spans="1:28" s="900" customFormat="1" ht="15.75" customHeight="1">
      <c r="A2964" s="895" t="str">
        <f>IF(B2964&lt;&gt;"",IF(AND(B2964&gt;=_TM1,B2964&lt;=_TM2,OR(TH!L2964="1111",TH!M2964="1111")),TH!D2964,""),"")</f>
        <v/>
      </c>
      <c r="B2964" s="896">
        <f t="shared" si="156"/>
        <v>4</v>
      </c>
      <c r="C2964" s="897">
        <f t="shared" si="157"/>
        <v>42468</v>
      </c>
      <c r="D2964" s="897" t="s">
        <v>1580</v>
      </c>
      <c r="E2964" s="869">
        <v>42468</v>
      </c>
      <c r="F2964" s="870" t="s">
        <v>1337</v>
      </c>
      <c r="G2964" s="871" t="s">
        <v>533</v>
      </c>
      <c r="H2964" s="965" t="s">
        <v>1328</v>
      </c>
      <c r="I2964" s="254">
        <v>200</v>
      </c>
      <c r="J2964" s="254">
        <v>10569.805688539691</v>
      </c>
      <c r="K2964" s="51">
        <f t="shared" si="158"/>
        <v>2113961</v>
      </c>
      <c r="L2964" s="966" t="s">
        <v>172</v>
      </c>
      <c r="M2964" s="966" t="s">
        <v>167</v>
      </c>
      <c r="N2964" s="52" t="str">
        <f>IF(AND('331-CT'!$E$7=TH!H2964,OR(L2964="331",M2964="331")),"331",IF(AND(OR(L2964="131",M2964="131"),H2964='131-CT'!$E$7),"131",""))</f>
        <v/>
      </c>
      <c r="O2964" s="857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65"/>
    </row>
    <row r="2965" spans="1:28" s="900" customFormat="1" ht="15.75" customHeight="1">
      <c r="A2965" s="895" t="str">
        <f>IF(B2965&lt;&gt;"",IF(AND(B2965&gt;=_TM1,B2965&lt;=_TM2,OR(TH!L2965="1111",TH!M2965="1111")),TH!D2965,""),"")</f>
        <v/>
      </c>
      <c r="B2965" s="896">
        <f t="shared" si="156"/>
        <v>4</v>
      </c>
      <c r="C2965" s="897">
        <f t="shared" si="157"/>
        <v>42468</v>
      </c>
      <c r="D2965" s="897" t="s">
        <v>1580</v>
      </c>
      <c r="E2965" s="869">
        <v>42468</v>
      </c>
      <c r="F2965" s="870" t="s">
        <v>1338</v>
      </c>
      <c r="G2965" s="871" t="s">
        <v>533</v>
      </c>
      <c r="H2965" s="965" t="s">
        <v>1328</v>
      </c>
      <c r="I2965" s="254">
        <v>200</v>
      </c>
      <c r="J2965" s="254">
        <v>12956.536005306718</v>
      </c>
      <c r="K2965" s="51">
        <f t="shared" si="158"/>
        <v>2591307</v>
      </c>
      <c r="L2965" s="966" t="s">
        <v>172</v>
      </c>
      <c r="M2965" s="966" t="s">
        <v>167</v>
      </c>
      <c r="N2965" s="52" t="str">
        <f>IF(AND('331-CT'!$E$7=TH!H2965,OR(L2965="331",M2965="331")),"331",IF(AND(OR(L2965="131",M2965="131"),H2965='131-CT'!$E$7),"131",""))</f>
        <v/>
      </c>
      <c r="O2965" s="857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65"/>
    </row>
    <row r="2966" spans="1:28" s="900" customFormat="1" ht="15.75" customHeight="1">
      <c r="A2966" s="895" t="str">
        <f>IF(B2966&lt;&gt;"",IF(AND(B2966&gt;=_TM1,B2966&lt;=_TM2,OR(TH!L2966="1111",TH!M2966="1111")),TH!D2966,""),"")</f>
        <v/>
      </c>
      <c r="B2966" s="896">
        <f t="shared" si="156"/>
        <v>4</v>
      </c>
      <c r="C2966" s="897">
        <f t="shared" si="157"/>
        <v>42468</v>
      </c>
      <c r="D2966" s="897" t="s">
        <v>1580</v>
      </c>
      <c r="E2966" s="869">
        <v>42468</v>
      </c>
      <c r="F2966" s="870" t="s">
        <v>942</v>
      </c>
      <c r="G2966" s="871" t="s">
        <v>534</v>
      </c>
      <c r="H2966" s="965" t="s">
        <v>1328</v>
      </c>
      <c r="I2966" s="254">
        <v>40</v>
      </c>
      <c r="J2966" s="254">
        <v>19605.284744872006</v>
      </c>
      <c r="K2966" s="51">
        <f t="shared" si="158"/>
        <v>784211</v>
      </c>
      <c r="L2966" s="966" t="s">
        <v>172</v>
      </c>
      <c r="M2966" s="966" t="s">
        <v>167</v>
      </c>
      <c r="N2966" s="52" t="str">
        <f>IF(AND('331-CT'!$E$7=TH!H2966,OR(L2966="331",M2966="331")),"331",IF(AND(OR(L2966="131",M2966="131"),H2966='131-CT'!$E$7),"131",""))</f>
        <v/>
      </c>
      <c r="O2966" s="857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65"/>
    </row>
    <row r="2967" spans="1:28" s="900" customFormat="1" ht="15.75" customHeight="1">
      <c r="A2967" s="895" t="str">
        <f>IF(B2967&lt;&gt;"",IF(AND(B2967&gt;=_TM1,B2967&lt;=_TM2,OR(TH!L2967="1111",TH!M2967="1111")),TH!D2967,""),"")</f>
        <v/>
      </c>
      <c r="B2967" s="896">
        <f t="shared" si="156"/>
        <v>4</v>
      </c>
      <c r="C2967" s="897">
        <f t="shared" si="157"/>
        <v>42468</v>
      </c>
      <c r="D2967" s="897" t="s">
        <v>1580</v>
      </c>
      <c r="E2967" s="869">
        <v>42468</v>
      </c>
      <c r="F2967" s="870" t="s">
        <v>998</v>
      </c>
      <c r="G2967" s="871" t="s">
        <v>535</v>
      </c>
      <c r="H2967" s="965" t="s">
        <v>1328</v>
      </c>
      <c r="I2967" s="254">
        <v>540</v>
      </c>
      <c r="J2967" s="254">
        <v>6222.5468972854633</v>
      </c>
      <c r="K2967" s="51">
        <f t="shared" si="158"/>
        <v>3360175</v>
      </c>
      <c r="L2967" s="966" t="s">
        <v>172</v>
      </c>
      <c r="M2967" s="966" t="s">
        <v>167</v>
      </c>
      <c r="N2967" s="52" t="str">
        <f>IF(AND('331-CT'!$E$7=TH!H2967,OR(L2967="331",M2967="331")),"331",IF(AND(OR(L2967="131",M2967="131"),H2967='131-CT'!$E$7),"131",""))</f>
        <v/>
      </c>
      <c r="O2967" s="857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65"/>
    </row>
    <row r="2968" spans="1:28" s="900" customFormat="1" ht="15.75" customHeight="1">
      <c r="A2968" s="895" t="str">
        <f>IF(B2968&lt;&gt;"",IF(AND(B2968&gt;=_TM1,B2968&lt;=_TM2,OR(TH!L2968="1111",TH!M2968="1111")),TH!D2968,""),"")</f>
        <v/>
      </c>
      <c r="B2968" s="896">
        <f t="shared" si="156"/>
        <v>4</v>
      </c>
      <c r="C2968" s="897">
        <f t="shared" si="157"/>
        <v>42468</v>
      </c>
      <c r="D2968" s="897" t="s">
        <v>1580</v>
      </c>
      <c r="E2968" s="869">
        <v>42468</v>
      </c>
      <c r="F2968" s="870" t="s">
        <v>1468</v>
      </c>
      <c r="G2968" s="871" t="s">
        <v>536</v>
      </c>
      <c r="H2968" s="965" t="s">
        <v>1328</v>
      </c>
      <c r="I2968" s="254">
        <v>3000</v>
      </c>
      <c r="J2968" s="254">
        <v>3324.3743697826449</v>
      </c>
      <c r="K2968" s="51">
        <f t="shared" si="158"/>
        <v>9973123</v>
      </c>
      <c r="L2968" s="966" t="s">
        <v>172</v>
      </c>
      <c r="M2968" s="966" t="s">
        <v>167</v>
      </c>
      <c r="N2968" s="52" t="str">
        <f>IF(AND('331-CT'!$E$7=TH!H2968,OR(L2968="331",M2968="331")),"331",IF(AND(OR(L2968="131",M2968="131"),H2968='131-CT'!$E$7),"131",""))</f>
        <v/>
      </c>
      <c r="O2968" s="857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65"/>
    </row>
    <row r="2969" spans="1:28" s="900" customFormat="1" ht="15.75" customHeight="1">
      <c r="A2969" s="895" t="str">
        <f>IF(B2969&lt;&gt;"",IF(AND(B2969&gt;=_TM1,B2969&lt;=_TM2,OR(TH!L2969="1111",TH!M2969="1111")),TH!D2969,""),"")</f>
        <v/>
      </c>
      <c r="B2969" s="896">
        <f t="shared" si="156"/>
        <v>4</v>
      </c>
      <c r="C2969" s="897">
        <f t="shared" si="157"/>
        <v>42471</v>
      </c>
      <c r="D2969" s="897" t="s">
        <v>1580</v>
      </c>
      <c r="E2969" s="869">
        <v>42471</v>
      </c>
      <c r="F2969" s="870" t="s">
        <v>999</v>
      </c>
      <c r="G2969" s="871" t="s">
        <v>538</v>
      </c>
      <c r="H2969" s="965" t="s">
        <v>1328</v>
      </c>
      <c r="I2969" s="254">
        <v>100</v>
      </c>
      <c r="J2969" s="254">
        <v>9291.2001617002134</v>
      </c>
      <c r="K2969" s="51">
        <f t="shared" si="158"/>
        <v>929120</v>
      </c>
      <c r="L2969" s="966" t="s">
        <v>172</v>
      </c>
      <c r="M2969" s="966" t="s">
        <v>167</v>
      </c>
      <c r="N2969" s="52" t="str">
        <f>IF(AND('331-CT'!$E$7=TH!H2969,OR(L2969="331",M2969="331")),"331",IF(AND(OR(L2969="131",M2969="131"),H2969='131-CT'!$E$7),"131",""))</f>
        <v/>
      </c>
      <c r="O2969" s="857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65"/>
    </row>
    <row r="2970" spans="1:28" s="900" customFormat="1" ht="15.75" customHeight="1">
      <c r="A2970" s="895" t="str">
        <f>IF(B2970&lt;&gt;"",IF(AND(B2970&gt;=_TM1,B2970&lt;=_TM2,OR(TH!L2970="1111",TH!M2970="1111")),TH!D2970,""),"")</f>
        <v/>
      </c>
      <c r="B2970" s="896">
        <f t="shared" si="156"/>
        <v>4</v>
      </c>
      <c r="C2970" s="897">
        <f t="shared" si="157"/>
        <v>42471</v>
      </c>
      <c r="D2970" s="897" t="s">
        <v>1580</v>
      </c>
      <c r="E2970" s="869">
        <v>42471</v>
      </c>
      <c r="F2970" s="870" t="s">
        <v>1001</v>
      </c>
      <c r="G2970" s="871" t="s">
        <v>538</v>
      </c>
      <c r="H2970" s="965" t="s">
        <v>1328</v>
      </c>
      <c r="I2970" s="254">
        <v>100</v>
      </c>
      <c r="J2970" s="254">
        <v>11166.488267731449</v>
      </c>
      <c r="K2970" s="51">
        <f t="shared" si="158"/>
        <v>1116649</v>
      </c>
      <c r="L2970" s="966" t="s">
        <v>172</v>
      </c>
      <c r="M2970" s="966" t="s">
        <v>167</v>
      </c>
      <c r="N2970" s="52" t="str">
        <f>IF(AND('331-CT'!$E$7=TH!H2970,OR(L2970="331",M2970="331")),"331",IF(AND(OR(L2970="131",M2970="131"),H2970='131-CT'!$E$7),"131",""))</f>
        <v/>
      </c>
      <c r="O2970" s="857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65"/>
    </row>
    <row r="2971" spans="1:28" s="900" customFormat="1" ht="15.75" customHeight="1">
      <c r="A2971" s="895" t="str">
        <f>IF(B2971&lt;&gt;"",IF(AND(B2971&gt;=_TM1,B2971&lt;=_TM2,OR(TH!L2971="1111",TH!M2971="1111")),TH!D2971,""),"")</f>
        <v/>
      </c>
      <c r="B2971" s="896">
        <f t="shared" si="156"/>
        <v>4</v>
      </c>
      <c r="C2971" s="897">
        <f t="shared" si="157"/>
        <v>42471</v>
      </c>
      <c r="D2971" s="897" t="s">
        <v>1580</v>
      </c>
      <c r="E2971" s="869">
        <v>42471</v>
      </c>
      <c r="F2971" s="870" t="s">
        <v>1002</v>
      </c>
      <c r="G2971" s="871" t="s">
        <v>538</v>
      </c>
      <c r="H2971" s="965" t="s">
        <v>1328</v>
      </c>
      <c r="I2971" s="254">
        <v>100</v>
      </c>
      <c r="J2971" s="254">
        <v>10484.565320083726</v>
      </c>
      <c r="K2971" s="51">
        <f t="shared" si="158"/>
        <v>1048457</v>
      </c>
      <c r="L2971" s="966" t="s">
        <v>172</v>
      </c>
      <c r="M2971" s="966" t="s">
        <v>167</v>
      </c>
      <c r="N2971" s="52" t="str">
        <f>IF(AND('331-CT'!$E$7=TH!H2971,OR(L2971="331",M2971="331")),"331",IF(AND(OR(L2971="131",M2971="131"),H2971='131-CT'!$E$7),"131",""))</f>
        <v/>
      </c>
      <c r="O2971" s="857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65"/>
    </row>
    <row r="2972" spans="1:28" s="900" customFormat="1" ht="15.75" customHeight="1">
      <c r="A2972" s="895" t="str">
        <f>IF(B2972&lt;&gt;"",IF(AND(B2972&gt;=_TM1,B2972&lt;=_TM2,OR(TH!L2972="1111",TH!M2972="1111")),TH!D2972,""),"")</f>
        <v/>
      </c>
      <c r="B2972" s="896">
        <f t="shared" si="156"/>
        <v>4</v>
      </c>
      <c r="C2972" s="897">
        <f t="shared" si="157"/>
        <v>42472</v>
      </c>
      <c r="D2972" s="897" t="s">
        <v>1580</v>
      </c>
      <c r="E2972" s="869">
        <v>42472</v>
      </c>
      <c r="F2972" s="870" t="s">
        <v>675</v>
      </c>
      <c r="G2972" s="871" t="s">
        <v>539</v>
      </c>
      <c r="H2972" s="965" t="s">
        <v>1328</v>
      </c>
      <c r="I2972" s="254">
        <v>1004</v>
      </c>
      <c r="J2972" s="254">
        <v>9717.402003980038</v>
      </c>
      <c r="K2972" s="51">
        <f t="shared" si="158"/>
        <v>9756272</v>
      </c>
      <c r="L2972" s="966" t="s">
        <v>172</v>
      </c>
      <c r="M2972" s="966" t="s">
        <v>167</v>
      </c>
      <c r="N2972" s="52" t="str">
        <f>IF(AND('331-CT'!$E$7=TH!H2972,OR(L2972="331",M2972="331")),"331",IF(AND(OR(L2972="131",M2972="131"),H2972='131-CT'!$E$7),"131",""))</f>
        <v/>
      </c>
      <c r="O2972" s="857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65"/>
    </row>
    <row r="2973" spans="1:28" s="900" customFormat="1" ht="15.75" customHeight="1">
      <c r="A2973" s="895" t="str">
        <f>IF(B2973&lt;&gt;"",IF(AND(B2973&gt;=_TM1,B2973&lt;=_TM2,OR(TH!L2973="1111",TH!M2973="1111")),TH!D2973,""),"")</f>
        <v/>
      </c>
      <c r="B2973" s="896">
        <f t="shared" si="156"/>
        <v>4</v>
      </c>
      <c r="C2973" s="897">
        <f t="shared" si="157"/>
        <v>42472</v>
      </c>
      <c r="D2973" s="897" t="s">
        <v>1580</v>
      </c>
      <c r="E2973" s="869">
        <v>42472</v>
      </c>
      <c r="F2973" s="870" t="s">
        <v>723</v>
      </c>
      <c r="G2973" s="871" t="s">
        <v>539</v>
      </c>
      <c r="H2973" s="965" t="s">
        <v>1328</v>
      </c>
      <c r="I2973" s="254">
        <v>2008</v>
      </c>
      <c r="J2973" s="254">
        <v>767.16331610368729</v>
      </c>
      <c r="K2973" s="51">
        <f t="shared" si="158"/>
        <v>1540464</v>
      </c>
      <c r="L2973" s="966" t="s">
        <v>172</v>
      </c>
      <c r="M2973" s="966" t="s">
        <v>167</v>
      </c>
      <c r="N2973" s="52" t="str">
        <f>IF(AND('331-CT'!$E$7=TH!H2973,OR(L2973="331",M2973="331")),"331",IF(AND(OR(L2973="131",M2973="131"),H2973='131-CT'!$E$7),"131",""))</f>
        <v/>
      </c>
      <c r="O2973" s="857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65"/>
    </row>
    <row r="2974" spans="1:28" s="900" customFormat="1" ht="15.75" customHeight="1">
      <c r="A2974" s="895" t="str">
        <f>IF(B2974&lt;&gt;"",IF(AND(B2974&gt;=_TM1,B2974&lt;=_TM2,OR(TH!L2974="1111",TH!M2974="1111")),TH!D2974,""),"")</f>
        <v/>
      </c>
      <c r="B2974" s="896">
        <f t="shared" si="156"/>
        <v>4</v>
      </c>
      <c r="C2974" s="897">
        <f t="shared" si="157"/>
        <v>42472</v>
      </c>
      <c r="D2974" s="897" t="s">
        <v>1580</v>
      </c>
      <c r="E2974" s="869">
        <v>42472</v>
      </c>
      <c r="F2974" s="870" t="s">
        <v>1003</v>
      </c>
      <c r="G2974" s="871" t="s">
        <v>540</v>
      </c>
      <c r="H2974" s="965" t="s">
        <v>1328</v>
      </c>
      <c r="I2974" s="254">
        <v>207</v>
      </c>
      <c r="J2974" s="254">
        <v>7756.8735294928383</v>
      </c>
      <c r="K2974" s="51">
        <f t="shared" si="158"/>
        <v>1605673</v>
      </c>
      <c r="L2974" s="966" t="s">
        <v>172</v>
      </c>
      <c r="M2974" s="966" t="s">
        <v>167</v>
      </c>
      <c r="N2974" s="52" t="str">
        <f>IF(AND('331-CT'!$E$7=TH!H2974,OR(L2974="331",M2974="331")),"331",IF(AND(OR(L2974="131",M2974="131"),H2974='131-CT'!$E$7),"131",""))</f>
        <v/>
      </c>
      <c r="O2974" s="857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65"/>
    </row>
    <row r="2975" spans="1:28" s="900" customFormat="1" ht="15.75" customHeight="1">
      <c r="A2975" s="895" t="str">
        <f>IF(B2975&lt;&gt;"",IF(AND(B2975&gt;=_TM1,B2975&lt;=_TM2,OR(TH!L2975="1111",TH!M2975="1111")),TH!D2975,""),"")</f>
        <v/>
      </c>
      <c r="B2975" s="896">
        <f t="shared" si="156"/>
        <v>4</v>
      </c>
      <c r="C2975" s="897">
        <f t="shared" si="157"/>
        <v>42472</v>
      </c>
      <c r="D2975" s="897" t="s">
        <v>1580</v>
      </c>
      <c r="E2975" s="869">
        <v>42472</v>
      </c>
      <c r="F2975" s="870" t="s">
        <v>1004</v>
      </c>
      <c r="G2975" s="871" t="s">
        <v>540</v>
      </c>
      <c r="H2975" s="965" t="s">
        <v>1328</v>
      </c>
      <c r="I2975" s="254">
        <v>173</v>
      </c>
      <c r="J2975" s="254">
        <v>7927.3542664047691</v>
      </c>
      <c r="K2975" s="51">
        <f t="shared" si="158"/>
        <v>1371432</v>
      </c>
      <c r="L2975" s="966" t="s">
        <v>172</v>
      </c>
      <c r="M2975" s="966" t="s">
        <v>167</v>
      </c>
      <c r="N2975" s="52" t="str">
        <f>IF(AND('331-CT'!$E$7=TH!H2975,OR(L2975="331",M2975="331")),"331",IF(AND(OR(L2975="131",M2975="131"),H2975='131-CT'!$E$7),"131",""))</f>
        <v/>
      </c>
      <c r="O2975" s="857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65"/>
    </row>
    <row r="2976" spans="1:28" s="900" customFormat="1" ht="15.75" customHeight="1">
      <c r="A2976" s="895" t="str">
        <f>IF(B2976&lt;&gt;"",IF(AND(B2976&gt;=_TM1,B2976&lt;=_TM2,OR(TH!L2976="1111",TH!M2976="1111")),TH!D2976,""),"")</f>
        <v/>
      </c>
      <c r="B2976" s="896">
        <f t="shared" si="156"/>
        <v>4</v>
      </c>
      <c r="C2976" s="897">
        <f t="shared" si="157"/>
        <v>42472</v>
      </c>
      <c r="D2976" s="897" t="s">
        <v>1580</v>
      </c>
      <c r="E2976" s="869">
        <v>42472</v>
      </c>
      <c r="F2976" s="870" t="s">
        <v>1005</v>
      </c>
      <c r="G2976" s="871" t="s">
        <v>541</v>
      </c>
      <c r="H2976" s="965" t="s">
        <v>1328</v>
      </c>
      <c r="I2976" s="254">
        <v>505</v>
      </c>
      <c r="J2976" s="254">
        <v>5029.1817389019498</v>
      </c>
      <c r="K2976" s="51">
        <f t="shared" si="158"/>
        <v>2539737</v>
      </c>
      <c r="L2976" s="966" t="s">
        <v>172</v>
      </c>
      <c r="M2976" s="966" t="s">
        <v>167</v>
      </c>
      <c r="N2976" s="52" t="str">
        <f>IF(AND('331-CT'!$E$7=TH!H2976,OR(L2976="331",M2976="331")),"331",IF(AND(OR(L2976="131",M2976="131"),H2976='131-CT'!$E$7),"131",""))</f>
        <v/>
      </c>
      <c r="O2976" s="857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65"/>
    </row>
    <row r="2977" spans="1:28" s="900" customFormat="1" ht="15.75" customHeight="1">
      <c r="A2977" s="895" t="str">
        <f>IF(B2977&lt;&gt;"",IF(AND(B2977&gt;=_TM1,B2977&lt;=_TM2,OR(TH!L2977="1111",TH!M2977="1111")),TH!D2977,""),"")</f>
        <v/>
      </c>
      <c r="B2977" s="896">
        <f t="shared" si="156"/>
        <v>4</v>
      </c>
      <c r="C2977" s="897">
        <f t="shared" si="157"/>
        <v>42472</v>
      </c>
      <c r="D2977" s="897" t="s">
        <v>1580</v>
      </c>
      <c r="E2977" s="869">
        <v>42472</v>
      </c>
      <c r="F2977" s="870" t="s">
        <v>1006</v>
      </c>
      <c r="G2977" s="871" t="s">
        <v>541</v>
      </c>
      <c r="H2977" s="965" t="s">
        <v>1328</v>
      </c>
      <c r="I2977" s="254">
        <v>988</v>
      </c>
      <c r="J2977" s="254">
        <v>5966.8257919175676</v>
      </c>
      <c r="K2977" s="51">
        <f t="shared" si="158"/>
        <v>5895224</v>
      </c>
      <c r="L2977" s="966" t="s">
        <v>172</v>
      </c>
      <c r="M2977" s="966" t="s">
        <v>167</v>
      </c>
      <c r="N2977" s="52" t="str">
        <f>IF(AND('331-CT'!$E$7=TH!H2977,OR(L2977="331",M2977="331")),"331",IF(AND(OR(L2977="131",M2977="131"),H2977='131-CT'!$E$7),"131",""))</f>
        <v/>
      </c>
      <c r="O2977" s="857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65"/>
    </row>
    <row r="2978" spans="1:28" s="900" customFormat="1" ht="15.75" customHeight="1">
      <c r="A2978" s="895" t="str">
        <f>IF(B2978&lt;&gt;"",IF(AND(B2978&gt;=_TM1,B2978&lt;=_TM2,OR(TH!L2978="1111",TH!M2978="1111")),TH!D2978,""),"")</f>
        <v/>
      </c>
      <c r="B2978" s="896">
        <f t="shared" si="156"/>
        <v>4</v>
      </c>
      <c r="C2978" s="897">
        <f t="shared" si="157"/>
        <v>42472</v>
      </c>
      <c r="D2978" s="897" t="s">
        <v>1580</v>
      </c>
      <c r="E2978" s="869">
        <v>42472</v>
      </c>
      <c r="F2978" s="870" t="s">
        <v>660</v>
      </c>
      <c r="G2978" s="871" t="s">
        <v>543</v>
      </c>
      <c r="H2978" s="965" t="s">
        <v>1328</v>
      </c>
      <c r="I2978" s="254">
        <v>735</v>
      </c>
      <c r="J2978" s="254">
        <v>6052.0661603735325</v>
      </c>
      <c r="K2978" s="51">
        <f t="shared" si="158"/>
        <v>4448269</v>
      </c>
      <c r="L2978" s="966" t="s">
        <v>172</v>
      </c>
      <c r="M2978" s="966" t="s">
        <v>167</v>
      </c>
      <c r="N2978" s="52" t="str">
        <f>IF(AND('331-CT'!$E$7=TH!H2978,OR(L2978="331",M2978="331")),"331",IF(AND(OR(L2978="131",M2978="131"),H2978='131-CT'!$E$7),"131",""))</f>
        <v/>
      </c>
      <c r="O2978" s="857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65"/>
    </row>
    <row r="2979" spans="1:28" s="900" customFormat="1" ht="15.75" customHeight="1">
      <c r="A2979" s="895" t="str">
        <f>IF(B2979&lt;&gt;"",IF(AND(B2979&gt;=_TM1,B2979&lt;=_TM2,OR(TH!L2979="1111",TH!M2979="1111")),TH!D2979,""),"")</f>
        <v/>
      </c>
      <c r="B2979" s="896">
        <f t="shared" si="156"/>
        <v>4</v>
      </c>
      <c r="C2979" s="897">
        <f t="shared" si="157"/>
        <v>42472</v>
      </c>
      <c r="D2979" s="897" t="s">
        <v>1580</v>
      </c>
      <c r="E2979" s="869">
        <v>42472</v>
      </c>
      <c r="F2979" s="967" t="s">
        <v>448</v>
      </c>
      <c r="G2979" s="871" t="s">
        <v>543</v>
      </c>
      <c r="H2979" s="965" t="s">
        <v>1328</v>
      </c>
      <c r="I2979" s="254">
        <v>194</v>
      </c>
      <c r="J2979" s="254">
        <v>61799.267130574808</v>
      </c>
      <c r="K2979" s="51">
        <f t="shared" si="158"/>
        <v>11989058</v>
      </c>
      <c r="L2979" s="966" t="s">
        <v>172</v>
      </c>
      <c r="M2979" s="966" t="s">
        <v>167</v>
      </c>
      <c r="N2979" s="52" t="str">
        <f>IF(AND('331-CT'!$E$7=TH!H2979,OR(L2979="331",M2979="331")),"331",IF(AND(OR(L2979="131",M2979="131"),H2979='131-CT'!$E$7),"131",""))</f>
        <v/>
      </c>
      <c r="O2979" s="857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65"/>
    </row>
    <row r="2980" spans="1:28" s="900" customFormat="1" ht="15.75" customHeight="1">
      <c r="A2980" s="895" t="str">
        <f>IF(B2980&lt;&gt;"",IF(AND(B2980&gt;=_TM1,B2980&lt;=_TM2,OR(TH!L2980="1111",TH!M2980="1111")),TH!D2980,""),"")</f>
        <v/>
      </c>
      <c r="B2980" s="896">
        <f t="shared" si="156"/>
        <v>4</v>
      </c>
      <c r="C2980" s="897">
        <f t="shared" si="157"/>
        <v>42472</v>
      </c>
      <c r="D2980" s="897" t="s">
        <v>1580</v>
      </c>
      <c r="E2980" s="869">
        <v>42472</v>
      </c>
      <c r="F2980" s="967" t="s">
        <v>1007</v>
      </c>
      <c r="G2980" s="871" t="s">
        <v>543</v>
      </c>
      <c r="H2980" s="965" t="s">
        <v>1328</v>
      </c>
      <c r="I2980" s="254">
        <v>20</v>
      </c>
      <c r="J2980" s="254">
        <v>70919.986555363095</v>
      </c>
      <c r="K2980" s="51">
        <f t="shared" si="158"/>
        <v>1418400</v>
      </c>
      <c r="L2980" s="966" t="s">
        <v>172</v>
      </c>
      <c r="M2980" s="966" t="s">
        <v>167</v>
      </c>
      <c r="N2980" s="52" t="str">
        <f>IF(AND('331-CT'!$E$7=TH!H2980,OR(L2980="331",M2980="331")),"331",IF(AND(OR(L2980="131",M2980="131"),H2980='131-CT'!$E$7),"131",""))</f>
        <v/>
      </c>
      <c r="O2980" s="857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65"/>
    </row>
    <row r="2981" spans="1:28" s="900" customFormat="1" ht="15.75" customHeight="1">
      <c r="A2981" s="895" t="str">
        <f>IF(B2981&lt;&gt;"",IF(AND(B2981&gt;=_TM1,B2981&lt;=_TM2,OR(TH!L2981="1111",TH!M2981="1111")),TH!D2981,""),"")</f>
        <v/>
      </c>
      <c r="B2981" s="896">
        <f t="shared" si="156"/>
        <v>4</v>
      </c>
      <c r="C2981" s="897">
        <f t="shared" si="157"/>
        <v>42473</v>
      </c>
      <c r="D2981" s="897" t="s">
        <v>1580</v>
      </c>
      <c r="E2981" s="869">
        <v>42473</v>
      </c>
      <c r="F2981" s="967" t="s">
        <v>419</v>
      </c>
      <c r="G2981" s="871" t="s">
        <v>544</v>
      </c>
      <c r="H2981" s="965" t="s">
        <v>1328</v>
      </c>
      <c r="I2981" s="254">
        <v>1222</v>
      </c>
      <c r="J2981" s="254">
        <v>6989.7102133891503</v>
      </c>
      <c r="K2981" s="51">
        <f t="shared" si="158"/>
        <v>8541426</v>
      </c>
      <c r="L2981" s="966" t="s">
        <v>172</v>
      </c>
      <c r="M2981" s="966" t="s">
        <v>167</v>
      </c>
      <c r="N2981" s="52" t="str">
        <f>IF(AND('331-CT'!$E$7=TH!H2981,OR(L2981="331",M2981="331")),"331",IF(AND(OR(L2981="131",M2981="131"),H2981='131-CT'!$E$7),"131",""))</f>
        <v/>
      </c>
      <c r="O2981" s="857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65"/>
    </row>
    <row r="2982" spans="1:28" s="900" customFormat="1" ht="15.75" customHeight="1">
      <c r="A2982" s="895" t="str">
        <f>IF(B2982&lt;&gt;"",IF(AND(B2982&gt;=_TM1,B2982&lt;=_TM2,OR(TH!L2982="1111",TH!M2982="1111")),TH!D2982,""),"")</f>
        <v/>
      </c>
      <c r="B2982" s="896">
        <f t="shared" si="156"/>
        <v>4</v>
      </c>
      <c r="C2982" s="897">
        <f t="shared" si="157"/>
        <v>42473</v>
      </c>
      <c r="D2982" s="897" t="s">
        <v>1580</v>
      </c>
      <c r="E2982" s="869">
        <v>42473</v>
      </c>
      <c r="F2982" s="967" t="s">
        <v>471</v>
      </c>
      <c r="G2982" s="871" t="s">
        <v>544</v>
      </c>
      <c r="H2982" s="965" t="s">
        <v>1328</v>
      </c>
      <c r="I2982" s="254">
        <v>602</v>
      </c>
      <c r="J2982" s="254">
        <v>13467.978216042511</v>
      </c>
      <c r="K2982" s="51">
        <f t="shared" si="158"/>
        <v>8107723</v>
      </c>
      <c r="L2982" s="966" t="s">
        <v>172</v>
      </c>
      <c r="M2982" s="966" t="s">
        <v>167</v>
      </c>
      <c r="N2982" s="52" t="str">
        <f>IF(AND('331-CT'!$E$7=TH!H2982,OR(L2982="331",M2982="331")),"331",IF(AND(OR(L2982="131",M2982="131"),H2982='131-CT'!$E$7),"131",""))</f>
        <v/>
      </c>
      <c r="O2982" s="857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65"/>
    </row>
    <row r="2983" spans="1:28" s="900" customFormat="1" ht="15.75" customHeight="1">
      <c r="A2983" s="895" t="str">
        <f>IF(B2983&lt;&gt;"",IF(AND(B2983&gt;=_TM1,B2983&lt;=_TM2,OR(TH!L2983="1111",TH!M2983="1111")),TH!D2983,""),"")</f>
        <v/>
      </c>
      <c r="B2983" s="896">
        <f t="shared" si="156"/>
        <v>4</v>
      </c>
      <c r="C2983" s="897">
        <f t="shared" si="157"/>
        <v>42475</v>
      </c>
      <c r="D2983" s="897" t="s">
        <v>1580</v>
      </c>
      <c r="E2983" s="869">
        <v>42475</v>
      </c>
      <c r="F2983" s="967" t="s">
        <v>448</v>
      </c>
      <c r="G2983" s="871" t="s">
        <v>1008</v>
      </c>
      <c r="H2983" s="965" t="s">
        <v>1328</v>
      </c>
      <c r="I2983" s="254">
        <v>295</v>
      </c>
      <c r="J2983" s="254">
        <v>61799.267130574808</v>
      </c>
      <c r="K2983" s="51">
        <f t="shared" si="158"/>
        <v>18230784</v>
      </c>
      <c r="L2983" s="966" t="s">
        <v>172</v>
      </c>
      <c r="M2983" s="966" t="s">
        <v>167</v>
      </c>
      <c r="N2983" s="52" t="str">
        <f>IF(AND('331-CT'!$E$7=TH!H2983,OR(L2983="331",M2983="331")),"331",IF(AND(OR(L2983="131",M2983="131"),H2983='131-CT'!$E$7),"131",""))</f>
        <v/>
      </c>
      <c r="O2983" s="857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65"/>
    </row>
    <row r="2984" spans="1:28" s="900" customFormat="1" ht="15.75" customHeight="1">
      <c r="A2984" s="895" t="str">
        <f>IF(B2984&lt;&gt;"",IF(AND(B2984&gt;=_TM1,B2984&lt;=_TM2,OR(TH!L2984="1111",TH!M2984="1111")),TH!D2984,""),"")</f>
        <v/>
      </c>
      <c r="B2984" s="896">
        <f t="shared" si="156"/>
        <v>4</v>
      </c>
      <c r="C2984" s="897">
        <f t="shared" si="157"/>
        <v>42475</v>
      </c>
      <c r="D2984" s="897" t="s">
        <v>1580</v>
      </c>
      <c r="E2984" s="869">
        <v>42475</v>
      </c>
      <c r="F2984" s="967" t="s">
        <v>1009</v>
      </c>
      <c r="G2984" s="871" t="s">
        <v>1008</v>
      </c>
      <c r="H2984" s="965" t="s">
        <v>1328</v>
      </c>
      <c r="I2984" s="254">
        <v>41</v>
      </c>
      <c r="J2984" s="254">
        <v>69044.69844933186</v>
      </c>
      <c r="K2984" s="51">
        <f t="shared" si="158"/>
        <v>2830833</v>
      </c>
      <c r="L2984" s="966" t="s">
        <v>172</v>
      </c>
      <c r="M2984" s="966" t="s">
        <v>167</v>
      </c>
      <c r="N2984" s="52" t="str">
        <f>IF(AND('331-CT'!$E$7=TH!H2984,OR(L2984="331",M2984="331")),"331",IF(AND(OR(L2984="131",M2984="131"),H2984='131-CT'!$E$7),"131",""))</f>
        <v/>
      </c>
      <c r="O2984" s="857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65"/>
    </row>
    <row r="2985" spans="1:28" s="900" customFormat="1" ht="15.75" customHeight="1">
      <c r="A2985" s="895" t="str">
        <f>IF(B2985&lt;&gt;"",IF(AND(B2985&gt;=_TM1,B2985&lt;=_TM2,OR(TH!L2985="1111",TH!M2985="1111")),TH!D2985,""),"")</f>
        <v/>
      </c>
      <c r="B2985" s="896">
        <f t="shared" si="156"/>
        <v>4</v>
      </c>
      <c r="C2985" s="897">
        <f t="shared" si="157"/>
        <v>42475</v>
      </c>
      <c r="D2985" s="897" t="s">
        <v>1580</v>
      </c>
      <c r="E2985" s="869">
        <v>42475</v>
      </c>
      <c r="F2985" s="967" t="s">
        <v>441</v>
      </c>
      <c r="G2985" s="871" t="s">
        <v>549</v>
      </c>
      <c r="H2985" s="965" t="s">
        <v>1328</v>
      </c>
      <c r="I2985" s="254">
        <v>991</v>
      </c>
      <c r="J2985" s="254">
        <v>4347.2587912542276</v>
      </c>
      <c r="K2985" s="51">
        <f t="shared" si="158"/>
        <v>4308133</v>
      </c>
      <c r="L2985" s="966" t="s">
        <v>172</v>
      </c>
      <c r="M2985" s="966" t="s">
        <v>167</v>
      </c>
      <c r="N2985" s="52" t="str">
        <f>IF(AND('331-CT'!$E$7=TH!H2985,OR(L2985="331",M2985="331")),"331",IF(AND(OR(L2985="131",M2985="131"),H2985='131-CT'!$E$7),"131",""))</f>
        <v/>
      </c>
      <c r="O2985" s="857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65"/>
    </row>
    <row r="2986" spans="1:28" s="900" customFormat="1" ht="15.75" customHeight="1">
      <c r="A2986" s="895" t="str">
        <f>IF(B2986&lt;&gt;"",IF(AND(B2986&gt;=_TM1,B2986&lt;=_TM2,OR(TH!L2986="1111",TH!M2986="1111")),TH!D2986,""),"")</f>
        <v/>
      </c>
      <c r="B2986" s="896">
        <f t="shared" si="156"/>
        <v>4</v>
      </c>
      <c r="C2986" s="897">
        <f t="shared" si="157"/>
        <v>42475</v>
      </c>
      <c r="D2986" s="897" t="s">
        <v>1580</v>
      </c>
      <c r="E2986" s="869">
        <v>42475</v>
      </c>
      <c r="F2986" s="967" t="s">
        <v>637</v>
      </c>
      <c r="G2986" s="871" t="s">
        <v>549</v>
      </c>
      <c r="H2986" s="965" t="s">
        <v>1328</v>
      </c>
      <c r="I2986" s="254">
        <v>105</v>
      </c>
      <c r="J2986" s="254">
        <v>20798.649903255522</v>
      </c>
      <c r="K2986" s="51">
        <f t="shared" si="158"/>
        <v>2183858</v>
      </c>
      <c r="L2986" s="966" t="s">
        <v>172</v>
      </c>
      <c r="M2986" s="966" t="s">
        <v>167</v>
      </c>
      <c r="N2986" s="52" t="str">
        <f>IF(AND('331-CT'!$E$7=TH!H2986,OR(L2986="331",M2986="331")),"331",IF(AND(OR(L2986="131",M2986="131"),H2986='131-CT'!$E$7),"131",""))</f>
        <v/>
      </c>
      <c r="O2986" s="857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65"/>
    </row>
    <row r="2987" spans="1:28" s="900" customFormat="1" ht="15.75" customHeight="1">
      <c r="A2987" s="895" t="str">
        <f>IF(B2987&lt;&gt;"",IF(AND(B2987&gt;=_TM1,B2987&lt;=_TM2,OR(TH!L2987="1111",TH!M2987="1111")),TH!D2987,""),"")</f>
        <v/>
      </c>
      <c r="B2987" s="896">
        <f t="shared" si="156"/>
        <v>4</v>
      </c>
      <c r="C2987" s="897">
        <f t="shared" si="157"/>
        <v>42475</v>
      </c>
      <c r="D2987" s="897" t="s">
        <v>1580</v>
      </c>
      <c r="E2987" s="869">
        <v>42475</v>
      </c>
      <c r="F2987" s="967" t="s">
        <v>1010</v>
      </c>
      <c r="G2987" s="871" t="s">
        <v>549</v>
      </c>
      <c r="H2987" s="965" t="s">
        <v>1328</v>
      </c>
      <c r="I2987" s="254">
        <v>209</v>
      </c>
      <c r="J2987" s="254">
        <v>4262.0184227982627</v>
      </c>
      <c r="K2987" s="51">
        <f t="shared" si="158"/>
        <v>890762</v>
      </c>
      <c r="L2987" s="966" t="s">
        <v>172</v>
      </c>
      <c r="M2987" s="966" t="s">
        <v>167</v>
      </c>
      <c r="N2987" s="52" t="str">
        <f>IF(AND('331-CT'!$E$7=TH!H2987,OR(L2987="331",M2987="331")),"331",IF(AND(OR(L2987="131",M2987="131"),H2987='131-CT'!$E$7),"131",""))</f>
        <v/>
      </c>
      <c r="O2987" s="857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65"/>
    </row>
    <row r="2988" spans="1:28" s="900" customFormat="1" ht="15.75" customHeight="1">
      <c r="A2988" s="895" t="str">
        <f>IF(B2988&lt;&gt;"",IF(AND(B2988&gt;=_TM1,B2988&lt;=_TM2,OR(TH!L2988="1111",TH!M2988="1111")),TH!D2988,""),"")</f>
        <v/>
      </c>
      <c r="B2988" s="896">
        <f t="shared" si="156"/>
        <v>4</v>
      </c>
      <c r="C2988" s="897">
        <f t="shared" si="157"/>
        <v>42478</v>
      </c>
      <c r="D2988" s="897" t="s">
        <v>1580</v>
      </c>
      <c r="E2988" s="869">
        <v>42478</v>
      </c>
      <c r="F2988" s="967" t="s">
        <v>466</v>
      </c>
      <c r="G2988" s="871" t="s">
        <v>550</v>
      </c>
      <c r="H2988" s="965" t="s">
        <v>1328</v>
      </c>
      <c r="I2988" s="254">
        <v>566</v>
      </c>
      <c r="J2988" s="254">
        <v>5796.3450550056377</v>
      </c>
      <c r="K2988" s="51">
        <f t="shared" si="158"/>
        <v>3280731</v>
      </c>
      <c r="L2988" s="966" t="s">
        <v>172</v>
      </c>
      <c r="M2988" s="966" t="s">
        <v>167</v>
      </c>
      <c r="N2988" s="52" t="str">
        <f>IF(AND('331-CT'!$E$7=TH!H2988,OR(L2988="331",M2988="331")),"331",IF(AND(OR(L2988="131",M2988="131"),H2988='131-CT'!$E$7),"131",""))</f>
        <v/>
      </c>
      <c r="O2988" s="857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65"/>
    </row>
    <row r="2989" spans="1:28" s="900" customFormat="1" ht="15.75" customHeight="1">
      <c r="A2989" s="895" t="str">
        <f>IF(B2989&lt;&gt;"",IF(AND(B2989&gt;=_TM1,B2989&lt;=_TM2,OR(TH!L2989="1111",TH!M2989="1111")),TH!D2989,""),"")</f>
        <v/>
      </c>
      <c r="B2989" s="896">
        <f t="shared" si="156"/>
        <v>4</v>
      </c>
      <c r="C2989" s="897">
        <f t="shared" si="157"/>
        <v>42478</v>
      </c>
      <c r="D2989" s="897" t="s">
        <v>1580</v>
      </c>
      <c r="E2989" s="869">
        <v>42478</v>
      </c>
      <c r="F2989" s="967" t="s">
        <v>579</v>
      </c>
      <c r="G2989" s="871" t="s">
        <v>551</v>
      </c>
      <c r="H2989" s="965" t="s">
        <v>1328</v>
      </c>
      <c r="I2989" s="254">
        <v>151</v>
      </c>
      <c r="J2989" s="254">
        <v>11848.41121537917</v>
      </c>
      <c r="K2989" s="51">
        <f t="shared" si="158"/>
        <v>1789110</v>
      </c>
      <c r="L2989" s="966" t="s">
        <v>172</v>
      </c>
      <c r="M2989" s="966" t="s">
        <v>167</v>
      </c>
      <c r="N2989" s="52" t="str">
        <f>IF(AND('331-CT'!$E$7=TH!H2989,OR(L2989="331",M2989="331")),"331",IF(AND(OR(L2989="131",M2989="131"),H2989='131-CT'!$E$7),"131",""))</f>
        <v/>
      </c>
      <c r="O2989" s="857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65"/>
    </row>
    <row r="2990" spans="1:28" s="900" customFormat="1" ht="15.75" customHeight="1">
      <c r="A2990" s="895" t="str">
        <f>IF(B2990&lt;&gt;"",IF(AND(B2990&gt;=_TM1,B2990&lt;=_TM2,OR(TH!L2990="1111",TH!M2990="1111")),TH!D2990,""),"")</f>
        <v/>
      </c>
      <c r="B2990" s="896">
        <f t="shared" si="156"/>
        <v>4</v>
      </c>
      <c r="C2990" s="897">
        <f t="shared" si="157"/>
        <v>42479</v>
      </c>
      <c r="D2990" s="897" t="s">
        <v>1580</v>
      </c>
      <c r="E2990" s="869">
        <v>42479</v>
      </c>
      <c r="F2990" s="967" t="s">
        <v>681</v>
      </c>
      <c r="G2990" s="871" t="s">
        <v>552</v>
      </c>
      <c r="H2990" s="965" t="s">
        <v>1328</v>
      </c>
      <c r="I2990" s="254">
        <v>303</v>
      </c>
      <c r="J2990" s="254">
        <v>7160.1909503010811</v>
      </c>
      <c r="K2990" s="51">
        <f t="shared" si="158"/>
        <v>2169538</v>
      </c>
      <c r="L2990" s="966" t="s">
        <v>172</v>
      </c>
      <c r="M2990" s="966" t="s">
        <v>167</v>
      </c>
      <c r="N2990" s="52" t="str">
        <f>IF(AND('331-CT'!$E$7=TH!H2990,OR(L2990="331",M2990="331")),"331",IF(AND(OR(L2990="131",M2990="131"),H2990='131-CT'!$E$7),"131",""))</f>
        <v/>
      </c>
      <c r="O2990" s="857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765"/>
    </row>
    <row r="2991" spans="1:28" s="900" customFormat="1" ht="15.75" customHeight="1">
      <c r="A2991" s="895" t="str">
        <f>IF(B2991&lt;&gt;"",IF(AND(B2991&gt;=_TM1,B2991&lt;=_TM2,OR(TH!L2991="1111",TH!M2991="1111")),TH!D2991,""),"")</f>
        <v/>
      </c>
      <c r="B2991" s="896">
        <f t="shared" si="156"/>
        <v>4</v>
      </c>
      <c r="C2991" s="897">
        <f t="shared" si="157"/>
        <v>42479</v>
      </c>
      <c r="D2991" s="897" t="s">
        <v>1580</v>
      </c>
      <c r="E2991" s="869">
        <v>42479</v>
      </c>
      <c r="F2991" s="967" t="s">
        <v>570</v>
      </c>
      <c r="G2991" s="871" t="s">
        <v>552</v>
      </c>
      <c r="H2991" s="965" t="s">
        <v>1328</v>
      </c>
      <c r="I2991" s="254">
        <v>318</v>
      </c>
      <c r="J2991" s="254">
        <v>8268.3157402286288</v>
      </c>
      <c r="K2991" s="51">
        <f t="shared" si="158"/>
        <v>2629324</v>
      </c>
      <c r="L2991" s="966" t="s">
        <v>172</v>
      </c>
      <c r="M2991" s="966" t="s">
        <v>167</v>
      </c>
      <c r="N2991" s="52" t="str">
        <f>IF(AND('331-CT'!$E$7=TH!H2991,OR(L2991="331",M2991="331")),"331",IF(AND(OR(L2991="131",M2991="131"),H2991='131-CT'!$E$7),"131",""))</f>
        <v/>
      </c>
      <c r="O2991" s="857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65"/>
    </row>
    <row r="2992" spans="1:28" s="900" customFormat="1" ht="15.75" customHeight="1">
      <c r="A2992" s="895" t="str">
        <f>IF(B2992&lt;&gt;"",IF(AND(B2992&gt;=_TM1,B2992&lt;=_TM2,OR(TH!L2992="1111",TH!M2992="1111")),TH!D2992,""),"")</f>
        <v/>
      </c>
      <c r="B2992" s="896">
        <f t="shared" si="156"/>
        <v>4</v>
      </c>
      <c r="C2992" s="897">
        <f t="shared" si="157"/>
        <v>42479</v>
      </c>
      <c r="D2992" s="897" t="s">
        <v>1580</v>
      </c>
      <c r="E2992" s="869">
        <v>42479</v>
      </c>
      <c r="F2992" s="967" t="s">
        <v>657</v>
      </c>
      <c r="G2992" s="871" t="s">
        <v>1012</v>
      </c>
      <c r="H2992" s="965" t="s">
        <v>1328</v>
      </c>
      <c r="I2992" s="254">
        <v>518</v>
      </c>
      <c r="J2992" s="254">
        <v>6393.027634197394</v>
      </c>
      <c r="K2992" s="51">
        <f t="shared" si="158"/>
        <v>3311588</v>
      </c>
      <c r="L2992" s="966" t="s">
        <v>172</v>
      </c>
      <c r="M2992" s="966" t="s">
        <v>167</v>
      </c>
      <c r="N2992" s="52" t="str">
        <f>IF(AND('331-CT'!$E$7=TH!H2992,OR(L2992="331",M2992="331")),"331",IF(AND(OR(L2992="131",M2992="131"),H2992='131-CT'!$E$7),"131",""))</f>
        <v/>
      </c>
      <c r="O2992" s="857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65"/>
    </row>
    <row r="2993" spans="1:28" s="900" customFormat="1" ht="15.75" customHeight="1">
      <c r="A2993" s="895" t="str">
        <f>IF(B2993&lt;&gt;"",IF(AND(B2993&gt;=_TM1,B2993&lt;=_TM2,OR(TH!L2993="1111",TH!M2993="1111")),TH!D2993,""),"")</f>
        <v/>
      </c>
      <c r="B2993" s="896">
        <f t="shared" si="156"/>
        <v>4</v>
      </c>
      <c r="C2993" s="897">
        <f t="shared" si="157"/>
        <v>42479</v>
      </c>
      <c r="D2993" s="897" t="s">
        <v>1580</v>
      </c>
      <c r="E2993" s="869">
        <v>42479</v>
      </c>
      <c r="F2993" s="967" t="s">
        <v>1474</v>
      </c>
      <c r="G2993" s="871" t="s">
        <v>1012</v>
      </c>
      <c r="H2993" s="965" t="s">
        <v>1328</v>
      </c>
      <c r="I2993" s="254">
        <v>540</v>
      </c>
      <c r="J2993" s="254">
        <v>8097.8350033166989</v>
      </c>
      <c r="K2993" s="51">
        <f t="shared" si="158"/>
        <v>4372831</v>
      </c>
      <c r="L2993" s="966" t="s">
        <v>172</v>
      </c>
      <c r="M2993" s="966" t="s">
        <v>167</v>
      </c>
      <c r="N2993" s="52" t="str">
        <f>IF(AND('331-CT'!$E$7=TH!H2993,OR(L2993="331",M2993="331")),"331",IF(AND(OR(L2993="131",M2993="131"),H2993='131-CT'!$E$7),"131",""))</f>
        <v/>
      </c>
      <c r="O2993" s="857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65"/>
    </row>
    <row r="2994" spans="1:28" s="900" customFormat="1" ht="15.75" customHeight="1">
      <c r="A2994" s="895" t="str">
        <f>IF(B2994&lt;&gt;"",IF(AND(B2994&gt;=_TM1,B2994&lt;=_TM2,OR(TH!L2994="1111",TH!M2994="1111")),TH!D2994,""),"")</f>
        <v/>
      </c>
      <c r="B2994" s="896">
        <f t="shared" si="156"/>
        <v>4</v>
      </c>
      <c r="C2994" s="897">
        <f t="shared" si="157"/>
        <v>42479</v>
      </c>
      <c r="D2994" s="897" t="s">
        <v>1580</v>
      </c>
      <c r="E2994" s="869">
        <v>42479</v>
      </c>
      <c r="F2994" s="967" t="s">
        <v>430</v>
      </c>
      <c r="G2994" s="871" t="s">
        <v>1012</v>
      </c>
      <c r="H2994" s="965" t="s">
        <v>1328</v>
      </c>
      <c r="I2994" s="254">
        <v>200</v>
      </c>
      <c r="J2994" s="254">
        <v>8097.8350033166989</v>
      </c>
      <c r="K2994" s="51">
        <f t="shared" si="158"/>
        <v>1619567</v>
      </c>
      <c r="L2994" s="966" t="s">
        <v>172</v>
      </c>
      <c r="M2994" s="966" t="s">
        <v>167</v>
      </c>
      <c r="N2994" s="52" t="str">
        <f>IF(AND('331-CT'!$E$7=TH!H2994,OR(L2994="331",M2994="331")),"331",IF(AND(OR(L2994="131",M2994="131"),H2994='131-CT'!$E$7),"131",""))</f>
        <v/>
      </c>
      <c r="O2994" s="857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65"/>
    </row>
    <row r="2995" spans="1:28" s="900" customFormat="1" ht="15.75" customHeight="1">
      <c r="A2995" s="895" t="str">
        <f>IF(B2995&lt;&gt;"",IF(AND(B2995&gt;=_TM1,B2995&lt;=_TM2,OR(TH!L2995="1111",TH!M2995="1111")),TH!D2995,""),"")</f>
        <v/>
      </c>
      <c r="B2995" s="896">
        <f t="shared" si="156"/>
        <v>4</v>
      </c>
      <c r="C2995" s="897">
        <f t="shared" si="157"/>
        <v>42481</v>
      </c>
      <c r="D2995" s="897" t="s">
        <v>1580</v>
      </c>
      <c r="E2995" s="869">
        <v>42481</v>
      </c>
      <c r="F2995" s="967" t="s">
        <v>1013</v>
      </c>
      <c r="G2995" s="871" t="s">
        <v>722</v>
      </c>
      <c r="H2995" s="965" t="s">
        <v>1328</v>
      </c>
      <c r="I2995" s="254">
        <v>60</v>
      </c>
      <c r="J2995" s="254">
        <v>23100.139851566582</v>
      </c>
      <c r="K2995" s="51">
        <f t="shared" si="158"/>
        <v>1386008</v>
      </c>
      <c r="L2995" s="966" t="s">
        <v>172</v>
      </c>
      <c r="M2995" s="966" t="s">
        <v>167</v>
      </c>
      <c r="N2995" s="52" t="str">
        <f>IF(AND('331-CT'!$E$7=TH!H2995,OR(L2995="331",M2995="331")),"331",IF(AND(OR(L2995="131",M2995="131"),H2995='131-CT'!$E$7),"131",""))</f>
        <v/>
      </c>
      <c r="O2995" s="857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65"/>
    </row>
    <row r="2996" spans="1:28" s="900" customFormat="1" ht="15.75" customHeight="1">
      <c r="A2996" s="895" t="str">
        <f>IF(B2996&lt;&gt;"",IF(AND(B2996&gt;=_TM1,B2996&lt;=_TM2,OR(TH!L2996="1111",TH!M2996="1111")),TH!D2996,""),"")</f>
        <v/>
      </c>
      <c r="B2996" s="896">
        <f t="shared" si="156"/>
        <v>4</v>
      </c>
      <c r="C2996" s="897">
        <f t="shared" si="157"/>
        <v>42481</v>
      </c>
      <c r="D2996" s="897" t="s">
        <v>1580</v>
      </c>
      <c r="E2996" s="869">
        <v>42481</v>
      </c>
      <c r="F2996" s="967" t="s">
        <v>1014</v>
      </c>
      <c r="G2996" s="871" t="s">
        <v>722</v>
      </c>
      <c r="H2996" s="965" t="s">
        <v>1328</v>
      </c>
      <c r="I2996" s="254">
        <v>60</v>
      </c>
      <c r="J2996" s="254">
        <v>26083.552747525369</v>
      </c>
      <c r="K2996" s="51">
        <f t="shared" si="158"/>
        <v>1565013</v>
      </c>
      <c r="L2996" s="966" t="s">
        <v>172</v>
      </c>
      <c r="M2996" s="966" t="s">
        <v>167</v>
      </c>
      <c r="N2996" s="52" t="str">
        <f>IF(AND('331-CT'!$E$7=TH!H2996,OR(L2996="331",M2996="331")),"331",IF(AND(OR(L2996="131",M2996="131"),H2996='131-CT'!$E$7),"131",""))</f>
        <v/>
      </c>
      <c r="O2996" s="857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65"/>
    </row>
    <row r="2997" spans="1:28" s="900" customFormat="1" ht="15.75" customHeight="1">
      <c r="A2997" s="895" t="str">
        <f>IF(B2997&lt;&gt;"",IF(AND(B2997&gt;=_TM1,B2997&lt;=_TM2,OR(TH!L2997="1111",TH!M2997="1111")),TH!D2997,""),"")</f>
        <v/>
      </c>
      <c r="B2997" s="896">
        <f t="shared" si="156"/>
        <v>4</v>
      </c>
      <c r="C2997" s="897">
        <f t="shared" si="157"/>
        <v>42482</v>
      </c>
      <c r="D2997" s="897" t="s">
        <v>1580</v>
      </c>
      <c r="E2997" s="869">
        <v>42482</v>
      </c>
      <c r="F2997" s="967" t="s">
        <v>507</v>
      </c>
      <c r="G2997" s="871" t="s">
        <v>553</v>
      </c>
      <c r="H2997" s="965" t="s">
        <v>1328</v>
      </c>
      <c r="I2997" s="254">
        <v>208</v>
      </c>
      <c r="J2997" s="254">
        <v>7927.3542664047691</v>
      </c>
      <c r="K2997" s="51">
        <f t="shared" si="158"/>
        <v>1648890</v>
      </c>
      <c r="L2997" s="966" t="s">
        <v>172</v>
      </c>
      <c r="M2997" s="966" t="s">
        <v>167</v>
      </c>
      <c r="N2997" s="52" t="str">
        <f>IF(AND('331-CT'!$E$7=TH!H2997,OR(L2997="331",M2997="331")),"331",IF(AND(OR(L2997="131",M2997="131"),H2997='131-CT'!$E$7),"131",""))</f>
        <v/>
      </c>
      <c r="O2997" s="857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65"/>
    </row>
    <row r="2998" spans="1:28" s="900" customFormat="1" ht="15.75" customHeight="1">
      <c r="A2998" s="895" t="str">
        <f>IF(B2998&lt;&gt;"",IF(AND(B2998&gt;=_TM1,B2998&lt;=_TM2,OR(TH!L2998="1111",TH!M2998="1111")),TH!D2998,""),"")</f>
        <v/>
      </c>
      <c r="B2998" s="896">
        <f t="shared" si="156"/>
        <v>4</v>
      </c>
      <c r="C2998" s="897">
        <f t="shared" si="157"/>
        <v>42483</v>
      </c>
      <c r="D2998" s="897" t="s">
        <v>1580</v>
      </c>
      <c r="E2998" s="869">
        <v>42483</v>
      </c>
      <c r="F2998" s="967" t="s">
        <v>675</v>
      </c>
      <c r="G2998" s="871" t="s">
        <v>556</v>
      </c>
      <c r="H2998" s="965" t="s">
        <v>1328</v>
      </c>
      <c r="I2998" s="254">
        <v>100</v>
      </c>
      <c r="J2998" s="254">
        <v>9717.402003980038</v>
      </c>
      <c r="K2998" s="51">
        <f t="shared" si="158"/>
        <v>971740</v>
      </c>
      <c r="L2998" s="966" t="s">
        <v>172</v>
      </c>
      <c r="M2998" s="966" t="s">
        <v>167</v>
      </c>
      <c r="N2998" s="52" t="str">
        <f>IF(AND('331-CT'!$E$7=TH!H2998,OR(L2998="331",M2998="331")),"331",IF(AND(OR(L2998="131",M2998="131"),H2998='131-CT'!$E$7),"131",""))</f>
        <v/>
      </c>
      <c r="O2998" s="857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65"/>
    </row>
    <row r="2999" spans="1:28" s="900" customFormat="1" ht="15.75" customHeight="1">
      <c r="A2999" s="895" t="str">
        <f>IF(B2999&lt;&gt;"",IF(AND(B2999&gt;=_TM1,B2999&lt;=_TM2,OR(TH!L2999="1111",TH!M2999="1111")),TH!D2999,""),"")</f>
        <v/>
      </c>
      <c r="B2999" s="896">
        <f t="shared" si="156"/>
        <v>4</v>
      </c>
      <c r="C2999" s="897">
        <f t="shared" si="157"/>
        <v>42483</v>
      </c>
      <c r="D2999" s="897" t="s">
        <v>1580</v>
      </c>
      <c r="E2999" s="869">
        <v>42483</v>
      </c>
      <c r="F2999" s="967" t="s">
        <v>723</v>
      </c>
      <c r="G2999" s="871" t="s">
        <v>556</v>
      </c>
      <c r="H2999" s="965" t="s">
        <v>1328</v>
      </c>
      <c r="I2999" s="254">
        <v>200</v>
      </c>
      <c r="J2999" s="254">
        <v>767.16331610368729</v>
      </c>
      <c r="K2999" s="51">
        <f t="shared" si="158"/>
        <v>153433</v>
      </c>
      <c r="L2999" s="966" t="s">
        <v>172</v>
      </c>
      <c r="M2999" s="966" t="s">
        <v>167</v>
      </c>
      <c r="N2999" s="52" t="str">
        <f>IF(AND('331-CT'!$E$7=TH!H2999,OR(L2999="331",M2999="331")),"331",IF(AND(OR(L2999="131",M2999="131"),H2999='131-CT'!$E$7),"131",""))</f>
        <v/>
      </c>
      <c r="O2999" s="857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65"/>
    </row>
    <row r="3000" spans="1:28" s="900" customFormat="1" ht="15.75" customHeight="1">
      <c r="A3000" s="895" t="str">
        <f>IF(B3000&lt;&gt;"",IF(AND(B3000&gt;=_TM1,B3000&lt;=_TM2,OR(TH!L3000="1111",TH!M3000="1111")),TH!D3000,""),"")</f>
        <v/>
      </c>
      <c r="B3000" s="896">
        <f t="shared" si="156"/>
        <v>4</v>
      </c>
      <c r="C3000" s="897">
        <f t="shared" si="157"/>
        <v>42485</v>
      </c>
      <c r="D3000" s="897" t="s">
        <v>1580</v>
      </c>
      <c r="E3000" s="869">
        <v>42485</v>
      </c>
      <c r="F3000" s="967" t="s">
        <v>1015</v>
      </c>
      <c r="G3000" s="871" t="s">
        <v>558</v>
      </c>
      <c r="H3000" s="965" t="s">
        <v>1328</v>
      </c>
      <c r="I3000" s="254">
        <v>420</v>
      </c>
      <c r="J3000" s="254">
        <v>11507.449741555311</v>
      </c>
      <c r="K3000" s="51">
        <f t="shared" si="158"/>
        <v>4833129</v>
      </c>
      <c r="L3000" s="966" t="s">
        <v>172</v>
      </c>
      <c r="M3000" s="966" t="s">
        <v>167</v>
      </c>
      <c r="N3000" s="52" t="str">
        <f>IF(AND('331-CT'!$E$7=TH!H3000,OR(L3000="331",M3000="331")),"331",IF(AND(OR(L3000="131",M3000="131"),H3000='131-CT'!$E$7),"131",""))</f>
        <v/>
      </c>
      <c r="O3000" s="857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65"/>
    </row>
    <row r="3001" spans="1:28" s="900" customFormat="1" ht="15.75" customHeight="1">
      <c r="A3001" s="895" t="str">
        <f>IF(B3001&lt;&gt;"",IF(AND(B3001&gt;=_TM1,B3001&lt;=_TM2,OR(TH!L3001="1111",TH!M3001="1111")),TH!D3001,""),"")</f>
        <v/>
      </c>
      <c r="B3001" s="896">
        <f t="shared" si="156"/>
        <v>4</v>
      </c>
      <c r="C3001" s="897">
        <f t="shared" si="157"/>
        <v>42485</v>
      </c>
      <c r="D3001" s="897" t="s">
        <v>1580</v>
      </c>
      <c r="E3001" s="869">
        <v>42485</v>
      </c>
      <c r="F3001" s="967" t="s">
        <v>510</v>
      </c>
      <c r="G3001" s="871" t="s">
        <v>558</v>
      </c>
      <c r="H3001" s="965" t="s">
        <v>1328</v>
      </c>
      <c r="I3001" s="254">
        <v>371</v>
      </c>
      <c r="J3001" s="254">
        <v>10825.526793907587</v>
      </c>
      <c r="K3001" s="51">
        <f t="shared" si="158"/>
        <v>4016270</v>
      </c>
      <c r="L3001" s="966" t="s">
        <v>172</v>
      </c>
      <c r="M3001" s="966" t="s">
        <v>167</v>
      </c>
      <c r="N3001" s="52" t="str">
        <f>IF(AND('331-CT'!$E$7=TH!H3001,OR(L3001="331",M3001="331")),"331",IF(AND(OR(L3001="131",M3001="131"),H3001='131-CT'!$E$7),"131",""))</f>
        <v/>
      </c>
      <c r="O3001" s="857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65"/>
    </row>
    <row r="3002" spans="1:28" s="900" customFormat="1" ht="15.75" customHeight="1">
      <c r="A3002" s="895" t="str">
        <f>IF(B3002&lt;&gt;"",IF(AND(B3002&gt;=_TM1,B3002&lt;=_TM2,OR(TH!L3002="1111",TH!M3002="1111")),TH!D3002,""),"")</f>
        <v/>
      </c>
      <c r="B3002" s="896">
        <f t="shared" ref="B3002:B3065" si="159">IF(C3002&lt;&gt;"",MONTH(C3002),"")</f>
        <v>4</v>
      </c>
      <c r="C3002" s="897">
        <f t="shared" si="157"/>
        <v>42485</v>
      </c>
      <c r="D3002" s="897" t="s">
        <v>1580</v>
      </c>
      <c r="E3002" s="869">
        <v>42485</v>
      </c>
      <c r="F3002" s="967" t="s">
        <v>510</v>
      </c>
      <c r="G3002" s="871" t="s">
        <v>558</v>
      </c>
      <c r="H3002" s="965" t="s">
        <v>1328</v>
      </c>
      <c r="I3002" s="254">
        <v>205</v>
      </c>
      <c r="J3002" s="254">
        <v>10825.526793907587</v>
      </c>
      <c r="K3002" s="51">
        <f t="shared" si="158"/>
        <v>2219233</v>
      </c>
      <c r="L3002" s="966" t="s">
        <v>172</v>
      </c>
      <c r="M3002" s="966" t="s">
        <v>167</v>
      </c>
      <c r="N3002" s="52" t="str">
        <f>IF(AND('331-CT'!$E$7=TH!H3002,OR(L3002="331",M3002="331")),"331",IF(AND(OR(L3002="131",M3002="131"),H3002='131-CT'!$E$7),"131",""))</f>
        <v/>
      </c>
      <c r="O3002" s="857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65"/>
    </row>
    <row r="3003" spans="1:28" s="900" customFormat="1" ht="15.75" customHeight="1">
      <c r="A3003" s="895" t="str">
        <f>IF(B3003&lt;&gt;"",IF(AND(B3003&gt;=_TM1,B3003&lt;=_TM2,OR(TH!L3003="1111",TH!M3003="1111")),TH!D3003,""),"")</f>
        <v/>
      </c>
      <c r="B3003" s="896">
        <f t="shared" si="159"/>
        <v>4</v>
      </c>
      <c r="C3003" s="897">
        <f t="shared" si="157"/>
        <v>42485</v>
      </c>
      <c r="D3003" s="897" t="s">
        <v>1580</v>
      </c>
      <c r="E3003" s="869">
        <v>42485</v>
      </c>
      <c r="F3003" s="967" t="s">
        <v>1016</v>
      </c>
      <c r="G3003" s="871" t="s">
        <v>559</v>
      </c>
      <c r="H3003" s="965" t="s">
        <v>1328</v>
      </c>
      <c r="I3003" s="254">
        <v>220</v>
      </c>
      <c r="J3003" s="254">
        <v>11507.449741555311</v>
      </c>
      <c r="K3003" s="51">
        <f t="shared" si="158"/>
        <v>2531639</v>
      </c>
      <c r="L3003" s="966" t="s">
        <v>172</v>
      </c>
      <c r="M3003" s="966" t="s">
        <v>167</v>
      </c>
      <c r="N3003" s="52" t="str">
        <f>IF(AND('331-CT'!$E$7=TH!H3003,OR(L3003="331",M3003="331")),"331",IF(AND(OR(L3003="131",M3003="131"),H3003='131-CT'!$E$7),"131",""))</f>
        <v/>
      </c>
      <c r="O3003" s="857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65"/>
    </row>
    <row r="3004" spans="1:28" s="900" customFormat="1" ht="15.75" customHeight="1">
      <c r="A3004" s="895" t="str">
        <f>IF(B3004&lt;&gt;"",IF(AND(B3004&gt;=_TM1,B3004&lt;=_TM2,OR(TH!L3004="1111",TH!M3004="1111")),TH!D3004,""),"")</f>
        <v/>
      </c>
      <c r="B3004" s="896">
        <f t="shared" si="159"/>
        <v>4</v>
      </c>
      <c r="C3004" s="897">
        <f t="shared" si="157"/>
        <v>42485</v>
      </c>
      <c r="D3004" s="897" t="s">
        <v>1580</v>
      </c>
      <c r="E3004" s="869">
        <v>42485</v>
      </c>
      <c r="F3004" s="967" t="s">
        <v>965</v>
      </c>
      <c r="G3004" s="871" t="s">
        <v>559</v>
      </c>
      <c r="H3004" s="965" t="s">
        <v>1328</v>
      </c>
      <c r="I3004" s="254">
        <v>210</v>
      </c>
      <c r="J3004" s="254">
        <v>11763.170846923203</v>
      </c>
      <c r="K3004" s="51">
        <f t="shared" si="158"/>
        <v>2470266</v>
      </c>
      <c r="L3004" s="966" t="s">
        <v>172</v>
      </c>
      <c r="M3004" s="966" t="s">
        <v>167</v>
      </c>
      <c r="N3004" s="52" t="str">
        <f>IF(AND('331-CT'!$E$7=TH!H3004,OR(L3004="331",M3004="331")),"331",IF(AND(OR(L3004="131",M3004="131"),H3004='131-CT'!$E$7),"131",""))</f>
        <v/>
      </c>
      <c r="O3004" s="857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65"/>
    </row>
    <row r="3005" spans="1:28" s="900" customFormat="1" ht="15.75" customHeight="1">
      <c r="A3005" s="895" t="str">
        <f>IF(B3005&lt;&gt;"",IF(AND(B3005&gt;=_TM1,B3005&lt;=_TM2,OR(TH!L3005="1111",TH!M3005="1111")),TH!D3005,""),"")</f>
        <v/>
      </c>
      <c r="B3005" s="896">
        <f t="shared" si="159"/>
        <v>4</v>
      </c>
      <c r="C3005" s="897">
        <f t="shared" si="157"/>
        <v>42485</v>
      </c>
      <c r="D3005" s="897" t="s">
        <v>1580</v>
      </c>
      <c r="E3005" s="869">
        <v>42485</v>
      </c>
      <c r="F3005" s="967" t="s">
        <v>510</v>
      </c>
      <c r="G3005" s="871" t="s">
        <v>559</v>
      </c>
      <c r="H3005" s="965" t="s">
        <v>1328</v>
      </c>
      <c r="I3005" s="254">
        <v>645</v>
      </c>
      <c r="J3005" s="254">
        <v>10825.526793907587</v>
      </c>
      <c r="K3005" s="51">
        <f t="shared" si="158"/>
        <v>6982465</v>
      </c>
      <c r="L3005" s="966" t="s">
        <v>172</v>
      </c>
      <c r="M3005" s="966" t="s">
        <v>167</v>
      </c>
      <c r="N3005" s="52" t="str">
        <f>IF(AND('331-CT'!$E$7=TH!H3005,OR(L3005="331",M3005="331")),"331",IF(AND(OR(L3005="131",M3005="131"),H3005='131-CT'!$E$7),"131",""))</f>
        <v/>
      </c>
      <c r="O3005" s="857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65"/>
    </row>
    <row r="3006" spans="1:28" s="900" customFormat="1" ht="15.75" customHeight="1">
      <c r="A3006" s="895" t="str">
        <f>IF(B3006&lt;&gt;"",IF(AND(B3006&gt;=_TM1,B3006&lt;=_TM2,OR(TH!L3006="1111",TH!M3006="1111")),TH!D3006,""),"")</f>
        <v/>
      </c>
      <c r="B3006" s="896">
        <f t="shared" si="159"/>
        <v>4</v>
      </c>
      <c r="C3006" s="897">
        <f t="shared" si="157"/>
        <v>42485</v>
      </c>
      <c r="D3006" s="897" t="s">
        <v>1580</v>
      </c>
      <c r="E3006" s="869">
        <v>42485</v>
      </c>
      <c r="F3006" s="967" t="s">
        <v>1017</v>
      </c>
      <c r="G3006" s="871" t="s">
        <v>559</v>
      </c>
      <c r="H3006" s="965" t="s">
        <v>1328</v>
      </c>
      <c r="I3006" s="254">
        <v>210</v>
      </c>
      <c r="J3006" s="254">
        <v>11848.41121537917</v>
      </c>
      <c r="K3006" s="51">
        <f t="shared" si="158"/>
        <v>2488166</v>
      </c>
      <c r="L3006" s="966" t="s">
        <v>172</v>
      </c>
      <c r="M3006" s="966" t="s">
        <v>167</v>
      </c>
      <c r="N3006" s="52" t="str">
        <f>IF(AND('331-CT'!$E$7=TH!H3006,OR(L3006="331",M3006="331")),"331",IF(AND(OR(L3006="131",M3006="131"),H3006='131-CT'!$E$7),"131",""))</f>
        <v/>
      </c>
      <c r="O3006" s="857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65"/>
    </row>
    <row r="3007" spans="1:28" s="900" customFormat="1" ht="15.75" customHeight="1">
      <c r="A3007" s="895" t="str">
        <f>IF(B3007&lt;&gt;"",IF(AND(B3007&gt;=_TM1,B3007&lt;=_TM2,OR(TH!L3007="1111",TH!M3007="1111")),TH!D3007,""),"")</f>
        <v/>
      </c>
      <c r="B3007" s="896">
        <f t="shared" si="159"/>
        <v>4</v>
      </c>
      <c r="C3007" s="897">
        <f t="shared" ref="C3007:C3070" si="160">E3007</f>
        <v>42486</v>
      </c>
      <c r="D3007" s="897" t="s">
        <v>1580</v>
      </c>
      <c r="E3007" s="869">
        <v>42486</v>
      </c>
      <c r="F3007" s="967" t="s">
        <v>1018</v>
      </c>
      <c r="G3007" s="871" t="s">
        <v>564</v>
      </c>
      <c r="H3007" s="965" t="s">
        <v>1328</v>
      </c>
      <c r="I3007" s="254">
        <v>105</v>
      </c>
      <c r="J3007" s="254">
        <v>10228.844214715829</v>
      </c>
      <c r="K3007" s="51">
        <f t="shared" si="158"/>
        <v>1074029</v>
      </c>
      <c r="L3007" s="966" t="s">
        <v>172</v>
      </c>
      <c r="M3007" s="966" t="s">
        <v>167</v>
      </c>
      <c r="N3007" s="52" t="str">
        <f>IF(AND('331-CT'!$E$7=TH!H3007,OR(L3007="331",M3007="331")),"331",IF(AND(OR(L3007="131",M3007="131"),H3007='131-CT'!$E$7),"131",""))</f>
        <v/>
      </c>
      <c r="O3007" s="857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65"/>
    </row>
    <row r="3008" spans="1:28" s="900" customFormat="1" ht="15.75" customHeight="1">
      <c r="A3008" s="895" t="str">
        <f>IF(B3008&lt;&gt;"",IF(AND(B3008&gt;=_TM1,B3008&lt;=_TM2,OR(TH!L3008="1111",TH!M3008="1111")),TH!D3008,""),"")</f>
        <v/>
      </c>
      <c r="B3008" s="896">
        <f t="shared" si="159"/>
        <v>4</v>
      </c>
      <c r="C3008" s="897">
        <f t="shared" si="160"/>
        <v>42486</v>
      </c>
      <c r="D3008" s="897" t="s">
        <v>1580</v>
      </c>
      <c r="E3008" s="869">
        <v>42486</v>
      </c>
      <c r="F3008" s="967" t="s">
        <v>438</v>
      </c>
      <c r="G3008" s="871" t="s">
        <v>564</v>
      </c>
      <c r="H3008" s="965" t="s">
        <v>1328</v>
      </c>
      <c r="I3008" s="254">
        <v>125</v>
      </c>
      <c r="J3008" s="254">
        <v>10825.526793907587</v>
      </c>
      <c r="K3008" s="51">
        <f t="shared" ref="K3008:K3071" si="161">ROUND(I3008*J3008,0)</f>
        <v>1353191</v>
      </c>
      <c r="L3008" s="966" t="s">
        <v>172</v>
      </c>
      <c r="M3008" s="966" t="s">
        <v>167</v>
      </c>
      <c r="N3008" s="52" t="str">
        <f>IF(AND('331-CT'!$E$7=TH!H3008,OR(L3008="331",M3008="331")),"331",IF(AND(OR(L3008="131",M3008="131"),H3008='131-CT'!$E$7),"131",""))</f>
        <v/>
      </c>
      <c r="O3008" s="857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65"/>
    </row>
    <row r="3009" spans="1:28" s="900" customFormat="1" ht="15.75" customHeight="1">
      <c r="A3009" s="895" t="str">
        <f>IF(B3009&lt;&gt;"",IF(AND(B3009&gt;=_TM1,B3009&lt;=_TM2,OR(TH!L3009="1111",TH!M3009="1111")),TH!D3009,""),"")</f>
        <v/>
      </c>
      <c r="B3009" s="896">
        <f t="shared" si="159"/>
        <v>4</v>
      </c>
      <c r="C3009" s="897">
        <f t="shared" si="160"/>
        <v>42486</v>
      </c>
      <c r="D3009" s="897" t="s">
        <v>1580</v>
      </c>
      <c r="E3009" s="869">
        <v>42486</v>
      </c>
      <c r="F3009" s="967" t="s">
        <v>510</v>
      </c>
      <c r="G3009" s="871" t="s">
        <v>564</v>
      </c>
      <c r="H3009" s="965" t="s">
        <v>1328</v>
      </c>
      <c r="I3009" s="254">
        <v>644</v>
      </c>
      <c r="J3009" s="254">
        <v>10825.526793907587</v>
      </c>
      <c r="K3009" s="51">
        <f t="shared" si="161"/>
        <v>6971639</v>
      </c>
      <c r="L3009" s="966" t="s">
        <v>172</v>
      </c>
      <c r="M3009" s="966" t="s">
        <v>167</v>
      </c>
      <c r="N3009" s="52" t="str">
        <f>IF(AND('331-CT'!$E$7=TH!H3009,OR(L3009="331",M3009="331")),"331",IF(AND(OR(L3009="131",M3009="131"),H3009='131-CT'!$E$7),"131",""))</f>
        <v/>
      </c>
      <c r="O3009" s="857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65"/>
    </row>
    <row r="3010" spans="1:28" s="900" customFormat="1" ht="15.75" customHeight="1">
      <c r="A3010" s="895" t="str">
        <f>IF(B3010&lt;&gt;"",IF(AND(B3010&gt;=_TM1,B3010&lt;=_TM2,OR(TH!L3010="1111",TH!M3010="1111")),TH!D3010,""),"")</f>
        <v/>
      </c>
      <c r="B3010" s="896">
        <f t="shared" si="159"/>
        <v>4</v>
      </c>
      <c r="C3010" s="897">
        <f t="shared" si="160"/>
        <v>42486</v>
      </c>
      <c r="D3010" s="897" t="s">
        <v>1580</v>
      </c>
      <c r="E3010" s="869">
        <v>42486</v>
      </c>
      <c r="F3010" s="967" t="s">
        <v>1019</v>
      </c>
      <c r="G3010" s="871" t="s">
        <v>565</v>
      </c>
      <c r="H3010" s="965" t="s">
        <v>1328</v>
      </c>
      <c r="I3010" s="254">
        <v>514</v>
      </c>
      <c r="J3010" s="254">
        <v>7330.6716872130119</v>
      </c>
      <c r="K3010" s="51">
        <f t="shared" si="161"/>
        <v>3767965</v>
      </c>
      <c r="L3010" s="966" t="s">
        <v>172</v>
      </c>
      <c r="M3010" s="966" t="s">
        <v>167</v>
      </c>
      <c r="N3010" s="52" t="str">
        <f>IF(AND('331-CT'!$E$7=TH!H3010,OR(L3010="331",M3010="331")),"331",IF(AND(OR(L3010="131",M3010="131"),H3010='131-CT'!$E$7),"131",""))</f>
        <v/>
      </c>
      <c r="O3010" s="857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65"/>
    </row>
    <row r="3011" spans="1:28" s="900" customFormat="1" ht="15.75" customHeight="1">
      <c r="A3011" s="895" t="str">
        <f>IF(B3011&lt;&gt;"",IF(AND(B3011&gt;=_TM1,B3011&lt;=_TM2,OR(TH!L3011="1111",TH!M3011="1111")),TH!D3011,""),"")</f>
        <v/>
      </c>
      <c r="B3011" s="896">
        <f t="shared" si="159"/>
        <v>4</v>
      </c>
      <c r="C3011" s="897">
        <f t="shared" si="160"/>
        <v>42489</v>
      </c>
      <c r="D3011" s="897" t="s">
        <v>1580</v>
      </c>
      <c r="E3011" s="869">
        <v>42489</v>
      </c>
      <c r="F3011" s="967" t="s">
        <v>448</v>
      </c>
      <c r="G3011" s="871" t="s">
        <v>566</v>
      </c>
      <c r="H3011" s="965" t="s">
        <v>1328</v>
      </c>
      <c r="I3011" s="254">
        <v>208</v>
      </c>
      <c r="J3011" s="254">
        <v>61799.267130574808</v>
      </c>
      <c r="K3011" s="51">
        <f t="shared" si="161"/>
        <v>12854248</v>
      </c>
      <c r="L3011" s="966" t="s">
        <v>172</v>
      </c>
      <c r="M3011" s="966" t="s">
        <v>167</v>
      </c>
      <c r="N3011" s="52" t="str">
        <f>IF(AND('331-CT'!$E$7=TH!H3011,OR(L3011="331",M3011="331")),"331",IF(AND(OR(L3011="131",M3011="131"),H3011='131-CT'!$E$7),"131",""))</f>
        <v/>
      </c>
      <c r="O3011" s="857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65"/>
    </row>
    <row r="3012" spans="1:28" s="900" customFormat="1" ht="15.75" customHeight="1">
      <c r="A3012" s="895" t="str">
        <f>IF(B3012&lt;&gt;"",IF(AND(B3012&gt;=_TM1,B3012&lt;=_TM2,OR(TH!L3012="1111",TH!M3012="1111")),TH!D3012,""),"")</f>
        <v/>
      </c>
      <c r="B3012" s="896">
        <f t="shared" si="159"/>
        <v>5</v>
      </c>
      <c r="C3012" s="897">
        <f t="shared" si="160"/>
        <v>42494</v>
      </c>
      <c r="D3012" s="897" t="s">
        <v>1580</v>
      </c>
      <c r="E3012" s="869">
        <v>42494</v>
      </c>
      <c r="F3012" s="967" t="s">
        <v>448</v>
      </c>
      <c r="G3012" s="871" t="s">
        <v>567</v>
      </c>
      <c r="H3012" s="965" t="s">
        <v>1328</v>
      </c>
      <c r="I3012" s="254">
        <v>101</v>
      </c>
      <c r="J3012" s="254">
        <v>61799.267130574808</v>
      </c>
      <c r="K3012" s="51">
        <f t="shared" si="161"/>
        <v>6241726</v>
      </c>
      <c r="L3012" s="966" t="s">
        <v>172</v>
      </c>
      <c r="M3012" s="966" t="s">
        <v>167</v>
      </c>
      <c r="N3012" s="52" t="str">
        <f>IF(AND('331-CT'!$E$7=TH!H3012,OR(L3012="331",M3012="331")),"331",IF(AND(OR(L3012="131",M3012="131"),H3012='131-CT'!$E$7),"131",""))</f>
        <v/>
      </c>
      <c r="O3012" s="857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65"/>
    </row>
    <row r="3013" spans="1:28" s="900" customFormat="1" ht="15.75" customHeight="1">
      <c r="A3013" s="895" t="str">
        <f>IF(B3013&lt;&gt;"",IF(AND(B3013&gt;=_TM1,B3013&lt;=_TM2,OR(TH!L3013="1111",TH!M3013="1111")),TH!D3013,""),"")</f>
        <v/>
      </c>
      <c r="B3013" s="896">
        <f t="shared" si="159"/>
        <v>5</v>
      </c>
      <c r="C3013" s="897">
        <f t="shared" si="160"/>
        <v>42494</v>
      </c>
      <c r="D3013" s="897" t="s">
        <v>1580</v>
      </c>
      <c r="E3013" s="869">
        <v>42494</v>
      </c>
      <c r="F3013" s="967" t="s">
        <v>1469</v>
      </c>
      <c r="G3013" s="871" t="s">
        <v>568</v>
      </c>
      <c r="H3013" s="965" t="s">
        <v>1328</v>
      </c>
      <c r="I3013" s="254">
        <v>500</v>
      </c>
      <c r="J3013" s="254">
        <v>6819.2294764772205</v>
      </c>
      <c r="K3013" s="51">
        <f t="shared" si="161"/>
        <v>3409615</v>
      </c>
      <c r="L3013" s="966" t="s">
        <v>172</v>
      </c>
      <c r="M3013" s="966" t="s">
        <v>167</v>
      </c>
      <c r="N3013" s="52" t="str">
        <f>IF(AND('331-CT'!$E$7=TH!H3013,OR(L3013="331",M3013="331")),"331",IF(AND(OR(L3013="131",M3013="131"),H3013='131-CT'!$E$7),"131",""))</f>
        <v/>
      </c>
      <c r="O3013" s="857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65"/>
    </row>
    <row r="3014" spans="1:28" s="900" customFormat="1" ht="15.75" customHeight="1">
      <c r="A3014" s="895" t="str">
        <f>IF(B3014&lt;&gt;"",IF(AND(B3014&gt;=_TM1,B3014&lt;=_TM2,OR(TH!L3014="1111",TH!M3014="1111")),TH!D3014,""),"")</f>
        <v/>
      </c>
      <c r="B3014" s="896">
        <f t="shared" si="159"/>
        <v>5</v>
      </c>
      <c r="C3014" s="897">
        <f t="shared" si="160"/>
        <v>42494</v>
      </c>
      <c r="D3014" s="897" t="s">
        <v>1580</v>
      </c>
      <c r="E3014" s="869">
        <v>42494</v>
      </c>
      <c r="F3014" s="967" t="s">
        <v>1463</v>
      </c>
      <c r="G3014" s="871" t="s">
        <v>568</v>
      </c>
      <c r="H3014" s="965" t="s">
        <v>1328</v>
      </c>
      <c r="I3014" s="254">
        <v>750</v>
      </c>
      <c r="J3014" s="254">
        <v>1875.2881060312357</v>
      </c>
      <c r="K3014" s="51">
        <f t="shared" si="161"/>
        <v>1406466</v>
      </c>
      <c r="L3014" s="966" t="s">
        <v>172</v>
      </c>
      <c r="M3014" s="966" t="s">
        <v>167</v>
      </c>
      <c r="N3014" s="52" t="str">
        <f>IF(AND('331-CT'!$E$7=TH!H3014,OR(L3014="331",M3014="331")),"331",IF(AND(OR(L3014="131",M3014="131"),H3014='131-CT'!$E$7),"131",""))</f>
        <v/>
      </c>
      <c r="O3014" s="857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65"/>
    </row>
    <row r="3015" spans="1:28" s="900" customFormat="1" ht="15.75" customHeight="1">
      <c r="A3015" s="895" t="str">
        <f>IF(B3015&lt;&gt;"",IF(AND(B3015&gt;=_TM1,B3015&lt;=_TM2,OR(TH!L3015="1111",TH!M3015="1111")),TH!D3015,""),"")</f>
        <v/>
      </c>
      <c r="B3015" s="896">
        <f t="shared" si="159"/>
        <v>5</v>
      </c>
      <c r="C3015" s="897">
        <f t="shared" si="160"/>
        <v>42494</v>
      </c>
      <c r="D3015" s="897" t="s">
        <v>1580</v>
      </c>
      <c r="E3015" s="869">
        <v>42494</v>
      </c>
      <c r="F3015" s="967" t="s">
        <v>1464</v>
      </c>
      <c r="G3015" s="871" t="s">
        <v>568</v>
      </c>
      <c r="H3015" s="965" t="s">
        <v>1328</v>
      </c>
      <c r="I3015" s="254">
        <v>300</v>
      </c>
      <c r="J3015" s="254">
        <v>2301.4899483110621</v>
      </c>
      <c r="K3015" s="51">
        <f t="shared" si="161"/>
        <v>690447</v>
      </c>
      <c r="L3015" s="966" t="s">
        <v>172</v>
      </c>
      <c r="M3015" s="966" t="s">
        <v>167</v>
      </c>
      <c r="N3015" s="52" t="str">
        <f>IF(AND('331-CT'!$E$7=TH!H3015,OR(L3015="331",M3015="331")),"331",IF(AND(OR(L3015="131",M3015="131"),H3015='131-CT'!$E$7),"131",""))</f>
        <v/>
      </c>
      <c r="O3015" s="857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65"/>
    </row>
    <row r="3016" spans="1:28" s="900" customFormat="1" ht="15.75" customHeight="1">
      <c r="A3016" s="895" t="str">
        <f>IF(B3016&lt;&gt;"",IF(AND(B3016&gt;=_TM1,B3016&lt;=_TM2,OR(TH!L3016="1111",TH!M3016="1111")),TH!D3016,""),"")</f>
        <v/>
      </c>
      <c r="B3016" s="896">
        <f t="shared" si="159"/>
        <v>5</v>
      </c>
      <c r="C3016" s="897">
        <f t="shared" si="160"/>
        <v>42495</v>
      </c>
      <c r="D3016" s="897" t="s">
        <v>1580</v>
      </c>
      <c r="E3016" s="869">
        <v>42495</v>
      </c>
      <c r="F3016" s="967" t="s">
        <v>1337</v>
      </c>
      <c r="G3016" s="871" t="s">
        <v>569</v>
      </c>
      <c r="H3016" s="965" t="s">
        <v>1328</v>
      </c>
      <c r="I3016" s="254">
        <v>500</v>
      </c>
      <c r="J3016" s="254">
        <v>10569.805688539691</v>
      </c>
      <c r="K3016" s="51">
        <f t="shared" si="161"/>
        <v>5284903</v>
      </c>
      <c r="L3016" s="966" t="s">
        <v>172</v>
      </c>
      <c r="M3016" s="966" t="s">
        <v>167</v>
      </c>
      <c r="N3016" s="52" t="str">
        <f>IF(AND('331-CT'!$E$7=TH!H3016,OR(L3016="331",M3016="331")),"331",IF(AND(OR(L3016="131",M3016="131"),H3016='131-CT'!$E$7),"131",""))</f>
        <v/>
      </c>
      <c r="O3016" s="857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65"/>
    </row>
    <row r="3017" spans="1:28" s="900" customFormat="1" ht="15.75" customHeight="1">
      <c r="A3017" s="895" t="str">
        <f>IF(B3017&lt;&gt;"",IF(AND(B3017&gt;=_TM1,B3017&lt;=_TM2,OR(TH!L3017="1111",TH!M3017="1111")),TH!D3017,""),"")</f>
        <v/>
      </c>
      <c r="B3017" s="896">
        <f t="shared" si="159"/>
        <v>5</v>
      </c>
      <c r="C3017" s="897">
        <f t="shared" si="160"/>
        <v>42495</v>
      </c>
      <c r="D3017" s="897" t="s">
        <v>1580</v>
      </c>
      <c r="E3017" s="869">
        <v>42495</v>
      </c>
      <c r="F3017" s="967" t="s">
        <v>1020</v>
      </c>
      <c r="G3017" s="871" t="s">
        <v>571</v>
      </c>
      <c r="H3017" s="965" t="s">
        <v>1328</v>
      </c>
      <c r="I3017" s="254">
        <v>22</v>
      </c>
      <c r="J3017" s="254">
        <v>34351.868487754</v>
      </c>
      <c r="K3017" s="51">
        <f t="shared" si="161"/>
        <v>755741</v>
      </c>
      <c r="L3017" s="966" t="s">
        <v>172</v>
      </c>
      <c r="M3017" s="966" t="s">
        <v>167</v>
      </c>
      <c r="N3017" s="52" t="str">
        <f>IF(AND('331-CT'!$E$7=TH!H3017,OR(L3017="331",M3017="331")),"331",IF(AND(OR(L3017="131",M3017="131"),H3017='131-CT'!$E$7),"131",""))</f>
        <v/>
      </c>
      <c r="O3017" s="857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65"/>
    </row>
    <row r="3018" spans="1:28" s="900" customFormat="1" ht="15.75" customHeight="1">
      <c r="A3018" s="895" t="str">
        <f>IF(B3018&lt;&gt;"",IF(AND(B3018&gt;=_TM1,B3018&lt;=_TM2,OR(TH!L3018="1111",TH!M3018="1111")),TH!D3018,""),"")</f>
        <v/>
      </c>
      <c r="B3018" s="896">
        <f t="shared" si="159"/>
        <v>5</v>
      </c>
      <c r="C3018" s="897">
        <f t="shared" si="160"/>
        <v>42495</v>
      </c>
      <c r="D3018" s="897" t="s">
        <v>1580</v>
      </c>
      <c r="E3018" s="869">
        <v>42495</v>
      </c>
      <c r="F3018" s="967" t="s">
        <v>448</v>
      </c>
      <c r="G3018" s="871" t="s">
        <v>571</v>
      </c>
      <c r="H3018" s="965" t="s">
        <v>1328</v>
      </c>
      <c r="I3018" s="254">
        <v>120</v>
      </c>
      <c r="J3018" s="254">
        <v>61799.267130574808</v>
      </c>
      <c r="K3018" s="51">
        <f t="shared" si="161"/>
        <v>7415912</v>
      </c>
      <c r="L3018" s="966" t="s">
        <v>172</v>
      </c>
      <c r="M3018" s="966" t="s">
        <v>167</v>
      </c>
      <c r="N3018" s="52" t="str">
        <f>IF(AND('331-CT'!$E$7=TH!H3018,OR(L3018="331",M3018="331")),"331",IF(AND(OR(L3018="131",M3018="131"),H3018='131-CT'!$E$7),"131",""))</f>
        <v/>
      </c>
      <c r="O3018" s="857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65"/>
    </row>
    <row r="3019" spans="1:28" s="900" customFormat="1" ht="15.75" customHeight="1">
      <c r="A3019" s="895" t="str">
        <f>IF(B3019&lt;&gt;"",IF(AND(B3019&gt;=_TM1,B3019&lt;=_TM2,OR(TH!L3019="1111",TH!M3019="1111")),TH!D3019,""),"")</f>
        <v/>
      </c>
      <c r="B3019" s="896">
        <f t="shared" si="159"/>
        <v>5</v>
      </c>
      <c r="C3019" s="897">
        <f t="shared" si="160"/>
        <v>42496</v>
      </c>
      <c r="D3019" s="897" t="s">
        <v>1580</v>
      </c>
      <c r="E3019" s="869">
        <v>42496</v>
      </c>
      <c r="F3019" s="967" t="s">
        <v>510</v>
      </c>
      <c r="G3019" s="871" t="s">
        <v>709</v>
      </c>
      <c r="H3019" s="965" t="s">
        <v>1328</v>
      </c>
      <c r="I3019" s="254">
        <v>469</v>
      </c>
      <c r="J3019" s="254">
        <v>10825.526793907587</v>
      </c>
      <c r="K3019" s="51">
        <f t="shared" si="161"/>
        <v>5077172</v>
      </c>
      <c r="L3019" s="966" t="s">
        <v>172</v>
      </c>
      <c r="M3019" s="966" t="s">
        <v>167</v>
      </c>
      <c r="N3019" s="52" t="str">
        <f>IF(AND('331-CT'!$E$7=TH!H3019,OR(L3019="331",M3019="331")),"331",IF(AND(OR(L3019="131",M3019="131"),H3019='131-CT'!$E$7),"131",""))</f>
        <v/>
      </c>
      <c r="O3019" s="857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65"/>
    </row>
    <row r="3020" spans="1:28" s="900" customFormat="1" ht="15.75" customHeight="1">
      <c r="A3020" s="895" t="str">
        <f>IF(B3020&lt;&gt;"",IF(AND(B3020&gt;=_TM1,B3020&lt;=_TM2,OR(TH!L3020="1111",TH!M3020="1111")),TH!D3020,""),"")</f>
        <v/>
      </c>
      <c r="B3020" s="896">
        <f t="shared" si="159"/>
        <v>5</v>
      </c>
      <c r="C3020" s="897">
        <f t="shared" si="160"/>
        <v>42496</v>
      </c>
      <c r="D3020" s="897" t="s">
        <v>1580</v>
      </c>
      <c r="E3020" s="869">
        <v>42496</v>
      </c>
      <c r="F3020" s="967" t="s">
        <v>1021</v>
      </c>
      <c r="G3020" s="871" t="s">
        <v>572</v>
      </c>
      <c r="H3020" s="965" t="s">
        <v>1328</v>
      </c>
      <c r="I3020" s="254">
        <v>46</v>
      </c>
      <c r="J3020" s="254">
        <v>4773.460633534055</v>
      </c>
      <c r="K3020" s="51">
        <f t="shared" si="161"/>
        <v>219579</v>
      </c>
      <c r="L3020" s="966" t="s">
        <v>172</v>
      </c>
      <c r="M3020" s="966" t="s">
        <v>167</v>
      </c>
      <c r="N3020" s="52" t="str">
        <f>IF(AND('331-CT'!$E$7=TH!H3020,OR(L3020="331",M3020="331")),"331",IF(AND(OR(L3020="131",M3020="131"),H3020='131-CT'!$E$7),"131",""))</f>
        <v/>
      </c>
      <c r="O3020" s="857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65"/>
    </row>
    <row r="3021" spans="1:28" s="900" customFormat="1" ht="15.75" customHeight="1">
      <c r="A3021" s="895" t="str">
        <f>IF(B3021&lt;&gt;"",IF(AND(B3021&gt;=_TM1,B3021&lt;=_TM2,OR(TH!L3021="1111",TH!M3021="1111")),TH!D3021,""),"")</f>
        <v/>
      </c>
      <c r="B3021" s="896">
        <f t="shared" si="159"/>
        <v>5</v>
      </c>
      <c r="C3021" s="897">
        <f t="shared" si="160"/>
        <v>42496</v>
      </c>
      <c r="D3021" s="897" t="s">
        <v>1580</v>
      </c>
      <c r="E3021" s="869">
        <v>42496</v>
      </c>
      <c r="F3021" s="967" t="s">
        <v>1022</v>
      </c>
      <c r="G3021" s="871" t="s">
        <v>572</v>
      </c>
      <c r="H3021" s="965" t="s">
        <v>1328</v>
      </c>
      <c r="I3021" s="254">
        <v>53</v>
      </c>
      <c r="J3021" s="254">
        <v>39722.011700479808</v>
      </c>
      <c r="K3021" s="51">
        <f t="shared" si="161"/>
        <v>2105267</v>
      </c>
      <c r="L3021" s="966" t="s">
        <v>172</v>
      </c>
      <c r="M3021" s="966" t="s">
        <v>167</v>
      </c>
      <c r="N3021" s="52" t="str">
        <f>IF(AND('331-CT'!$E$7=TH!H3021,OR(L3021="331",M3021="331")),"331",IF(AND(OR(L3021="131",M3021="131"),H3021='131-CT'!$E$7),"131",""))</f>
        <v/>
      </c>
      <c r="O3021" s="857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65"/>
    </row>
    <row r="3022" spans="1:28" s="900" customFormat="1" ht="15.75" customHeight="1">
      <c r="A3022" s="895" t="str">
        <f>IF(B3022&lt;&gt;"",IF(AND(B3022&gt;=_TM1,B3022&lt;=_TM2,OR(TH!L3022="1111",TH!M3022="1111")),TH!D3022,""),"")</f>
        <v/>
      </c>
      <c r="B3022" s="896">
        <f t="shared" si="159"/>
        <v>5</v>
      </c>
      <c r="C3022" s="897">
        <f t="shared" si="160"/>
        <v>42496</v>
      </c>
      <c r="D3022" s="897" t="s">
        <v>1580</v>
      </c>
      <c r="E3022" s="869">
        <v>42496</v>
      </c>
      <c r="F3022" s="967" t="s">
        <v>1023</v>
      </c>
      <c r="G3022" s="871" t="s">
        <v>572</v>
      </c>
      <c r="H3022" s="965" t="s">
        <v>1328</v>
      </c>
      <c r="I3022" s="254">
        <v>53</v>
      </c>
      <c r="J3022" s="254">
        <v>34096.147382386102</v>
      </c>
      <c r="K3022" s="51">
        <f t="shared" si="161"/>
        <v>1807096</v>
      </c>
      <c r="L3022" s="966" t="s">
        <v>172</v>
      </c>
      <c r="M3022" s="966" t="s">
        <v>167</v>
      </c>
      <c r="N3022" s="52" t="str">
        <f>IF(AND('331-CT'!$E$7=TH!H3022,OR(L3022="331",M3022="331")),"331",IF(AND(OR(L3022="131",M3022="131"),H3022='131-CT'!$E$7),"131",""))</f>
        <v/>
      </c>
      <c r="O3022" s="857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65"/>
    </row>
    <row r="3023" spans="1:28" s="900" customFormat="1" ht="15.75" customHeight="1">
      <c r="A3023" s="895" t="str">
        <f>IF(B3023&lt;&gt;"",IF(AND(B3023&gt;=_TM1,B3023&lt;=_TM2,OR(TH!L3023="1111",TH!M3023="1111")),TH!D3023,""),"")</f>
        <v/>
      </c>
      <c r="B3023" s="896">
        <f t="shared" si="159"/>
        <v>5</v>
      </c>
      <c r="C3023" s="897">
        <f t="shared" si="160"/>
        <v>42496</v>
      </c>
      <c r="D3023" s="897" t="s">
        <v>1580</v>
      </c>
      <c r="E3023" s="869">
        <v>42496</v>
      </c>
      <c r="F3023" s="967" t="s">
        <v>1023</v>
      </c>
      <c r="G3023" s="871" t="s">
        <v>572</v>
      </c>
      <c r="H3023" s="965" t="s">
        <v>1328</v>
      </c>
      <c r="I3023" s="254">
        <v>54</v>
      </c>
      <c r="J3023" s="254">
        <v>34096.147382386102</v>
      </c>
      <c r="K3023" s="51">
        <f t="shared" si="161"/>
        <v>1841192</v>
      </c>
      <c r="L3023" s="966" t="s">
        <v>172</v>
      </c>
      <c r="M3023" s="966" t="s">
        <v>167</v>
      </c>
      <c r="N3023" s="52" t="str">
        <f>IF(AND('331-CT'!$E$7=TH!H3023,OR(L3023="331",M3023="331")),"331",IF(AND(OR(L3023="131",M3023="131"),H3023='131-CT'!$E$7),"131",""))</f>
        <v/>
      </c>
      <c r="O3023" s="857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65"/>
    </row>
    <row r="3024" spans="1:28" s="900" customFormat="1" ht="15.75" customHeight="1">
      <c r="A3024" s="895" t="str">
        <f>IF(B3024&lt;&gt;"",IF(AND(B3024&gt;=_TM1,B3024&lt;=_TM2,OR(TH!L3024="1111",TH!M3024="1111")),TH!D3024,""),"")</f>
        <v/>
      </c>
      <c r="B3024" s="896">
        <f t="shared" si="159"/>
        <v>5</v>
      </c>
      <c r="C3024" s="897">
        <f t="shared" si="160"/>
        <v>42496</v>
      </c>
      <c r="D3024" s="897" t="s">
        <v>1580</v>
      </c>
      <c r="E3024" s="869">
        <v>42496</v>
      </c>
      <c r="F3024" s="967" t="s">
        <v>1024</v>
      </c>
      <c r="G3024" s="871" t="s">
        <v>572</v>
      </c>
      <c r="H3024" s="965" t="s">
        <v>1328</v>
      </c>
      <c r="I3024" s="254">
        <v>51</v>
      </c>
      <c r="J3024" s="254">
        <v>48075.5678091644</v>
      </c>
      <c r="K3024" s="51">
        <f t="shared" si="161"/>
        <v>2451854</v>
      </c>
      <c r="L3024" s="966" t="s">
        <v>172</v>
      </c>
      <c r="M3024" s="966" t="s">
        <v>167</v>
      </c>
      <c r="N3024" s="52" t="str">
        <f>IF(AND('331-CT'!$E$7=TH!H3024,OR(L3024="331",M3024="331")),"331",IF(AND(OR(L3024="131",M3024="131"),H3024='131-CT'!$E$7),"131",""))</f>
        <v/>
      </c>
      <c r="O3024" s="857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65"/>
    </row>
    <row r="3025" spans="1:28" s="900" customFormat="1" ht="15.75" customHeight="1">
      <c r="A3025" s="895" t="str">
        <f>IF(B3025&lt;&gt;"",IF(AND(B3025&gt;=_TM1,B3025&lt;=_TM2,OR(TH!L3025="1111",TH!M3025="1111")),TH!D3025,""),"")</f>
        <v/>
      </c>
      <c r="B3025" s="896">
        <f t="shared" si="159"/>
        <v>5</v>
      </c>
      <c r="C3025" s="897">
        <f t="shared" si="160"/>
        <v>42496</v>
      </c>
      <c r="D3025" s="897" t="s">
        <v>1580</v>
      </c>
      <c r="E3025" s="869">
        <v>42496</v>
      </c>
      <c r="F3025" s="967" t="s">
        <v>1025</v>
      </c>
      <c r="G3025" s="871" t="s">
        <v>572</v>
      </c>
      <c r="H3025" s="965" t="s">
        <v>1328</v>
      </c>
      <c r="I3025" s="254">
        <v>108</v>
      </c>
      <c r="J3025" s="254">
        <v>14320.381900602162</v>
      </c>
      <c r="K3025" s="51">
        <f t="shared" si="161"/>
        <v>1546601</v>
      </c>
      <c r="L3025" s="966" t="s">
        <v>172</v>
      </c>
      <c r="M3025" s="966" t="s">
        <v>167</v>
      </c>
      <c r="N3025" s="52" t="str">
        <f>IF(AND('331-CT'!$E$7=TH!H3025,OR(L3025="331",M3025="331")),"331",IF(AND(OR(L3025="131",M3025="131"),H3025='131-CT'!$E$7),"131",""))</f>
        <v/>
      </c>
      <c r="O3025" s="857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65"/>
    </row>
    <row r="3026" spans="1:28" s="900" customFormat="1" ht="15.75" customHeight="1">
      <c r="A3026" s="895" t="str">
        <f>IF(B3026&lt;&gt;"",IF(AND(B3026&gt;=_TM1,B3026&lt;=_TM2,OR(TH!L3026="1111",TH!M3026="1111")),TH!D3026,""),"")</f>
        <v/>
      </c>
      <c r="B3026" s="896">
        <f t="shared" si="159"/>
        <v>5</v>
      </c>
      <c r="C3026" s="897">
        <f t="shared" si="160"/>
        <v>42496</v>
      </c>
      <c r="D3026" s="897" t="s">
        <v>1580</v>
      </c>
      <c r="E3026" s="869">
        <v>42496</v>
      </c>
      <c r="F3026" s="967" t="s">
        <v>1026</v>
      </c>
      <c r="G3026" s="871" t="s">
        <v>572</v>
      </c>
      <c r="H3026" s="965" t="s">
        <v>1328</v>
      </c>
      <c r="I3026" s="254">
        <v>37</v>
      </c>
      <c r="J3026" s="254">
        <v>8353.5561086845955</v>
      </c>
      <c r="K3026" s="51">
        <f t="shared" si="161"/>
        <v>309082</v>
      </c>
      <c r="L3026" s="966" t="s">
        <v>172</v>
      </c>
      <c r="M3026" s="966" t="s">
        <v>167</v>
      </c>
      <c r="N3026" s="52" t="str">
        <f>IF(AND('331-CT'!$E$7=TH!H3026,OR(L3026="331",M3026="331")),"331",IF(AND(OR(L3026="131",M3026="131"),H3026='131-CT'!$E$7),"131",""))</f>
        <v/>
      </c>
      <c r="O3026" s="857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65"/>
    </row>
    <row r="3027" spans="1:28" s="900" customFormat="1" ht="15.75" customHeight="1">
      <c r="A3027" s="895" t="str">
        <f>IF(B3027&lt;&gt;"",IF(AND(B3027&gt;=_TM1,B3027&lt;=_TM2,OR(TH!L3027="1111",TH!M3027="1111")),TH!D3027,""),"")</f>
        <v/>
      </c>
      <c r="B3027" s="896">
        <f t="shared" si="159"/>
        <v>5</v>
      </c>
      <c r="C3027" s="897">
        <f t="shared" si="160"/>
        <v>42496</v>
      </c>
      <c r="D3027" s="897" t="s">
        <v>1580</v>
      </c>
      <c r="E3027" s="869">
        <v>42496</v>
      </c>
      <c r="F3027" s="967" t="s">
        <v>1027</v>
      </c>
      <c r="G3027" s="871" t="s">
        <v>572</v>
      </c>
      <c r="H3027" s="965" t="s">
        <v>1328</v>
      </c>
      <c r="I3027" s="254">
        <v>50</v>
      </c>
      <c r="J3027" s="254">
        <v>26424.514221349229</v>
      </c>
      <c r="K3027" s="51">
        <f t="shared" si="161"/>
        <v>1321226</v>
      </c>
      <c r="L3027" s="966" t="s">
        <v>172</v>
      </c>
      <c r="M3027" s="966" t="s">
        <v>167</v>
      </c>
      <c r="N3027" s="52" t="str">
        <f>IF(AND('331-CT'!$E$7=TH!H3027,OR(L3027="331",M3027="331")),"331",IF(AND(OR(L3027="131",M3027="131"),H3027='131-CT'!$E$7),"131",""))</f>
        <v/>
      </c>
      <c r="O3027" s="857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65"/>
    </row>
    <row r="3028" spans="1:28" s="900" customFormat="1" ht="15.75" customHeight="1">
      <c r="A3028" s="895" t="str">
        <f>IF(B3028&lt;&gt;"",IF(AND(B3028&gt;=_TM1,B3028&lt;=_TM2,OR(TH!L3028="1111",TH!M3028="1111")),TH!D3028,""),"")</f>
        <v/>
      </c>
      <c r="B3028" s="896">
        <f t="shared" si="159"/>
        <v>5</v>
      </c>
      <c r="C3028" s="897">
        <f t="shared" si="160"/>
        <v>42496</v>
      </c>
      <c r="D3028" s="897" t="s">
        <v>1580</v>
      </c>
      <c r="E3028" s="869">
        <v>42496</v>
      </c>
      <c r="F3028" s="967" t="s">
        <v>1028</v>
      </c>
      <c r="G3028" s="871" t="s">
        <v>573</v>
      </c>
      <c r="H3028" s="965" t="s">
        <v>1328</v>
      </c>
      <c r="I3028" s="254">
        <v>30</v>
      </c>
      <c r="J3028" s="254">
        <v>10228.844214715829</v>
      </c>
      <c r="K3028" s="51">
        <f t="shared" si="161"/>
        <v>306865</v>
      </c>
      <c r="L3028" s="966" t="s">
        <v>172</v>
      </c>
      <c r="M3028" s="966" t="s">
        <v>167</v>
      </c>
      <c r="N3028" s="52" t="str">
        <f>IF(AND('331-CT'!$E$7=TH!H3028,OR(L3028="331",M3028="331")),"331",IF(AND(OR(L3028="131",M3028="131"),H3028='131-CT'!$E$7),"131",""))</f>
        <v/>
      </c>
      <c r="O3028" s="857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65"/>
    </row>
    <row r="3029" spans="1:28" s="900" customFormat="1" ht="15.75" customHeight="1">
      <c r="A3029" s="895" t="str">
        <f>IF(B3029&lt;&gt;"",IF(AND(B3029&gt;=_TM1,B3029&lt;=_TM2,OR(TH!L3029="1111",TH!M3029="1111")),TH!D3029,""),"")</f>
        <v/>
      </c>
      <c r="B3029" s="896">
        <f t="shared" si="159"/>
        <v>5</v>
      </c>
      <c r="C3029" s="897">
        <f t="shared" si="160"/>
        <v>42496</v>
      </c>
      <c r="D3029" s="897" t="s">
        <v>1580</v>
      </c>
      <c r="E3029" s="869">
        <v>42496</v>
      </c>
      <c r="F3029" s="967" t="s">
        <v>1029</v>
      </c>
      <c r="G3029" s="871" t="s">
        <v>573</v>
      </c>
      <c r="H3029" s="965" t="s">
        <v>1328</v>
      </c>
      <c r="I3029" s="254">
        <v>60</v>
      </c>
      <c r="J3029" s="254">
        <v>4602.9798966221242</v>
      </c>
      <c r="K3029" s="51">
        <f t="shared" si="161"/>
        <v>276179</v>
      </c>
      <c r="L3029" s="966" t="s">
        <v>172</v>
      </c>
      <c r="M3029" s="966" t="s">
        <v>167</v>
      </c>
      <c r="N3029" s="52" t="str">
        <f>IF(AND('331-CT'!$E$7=TH!H3029,OR(L3029="331",M3029="331")),"331",IF(AND(OR(L3029="131",M3029="131"),H3029='131-CT'!$E$7),"131",""))</f>
        <v/>
      </c>
      <c r="O3029" s="857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65"/>
    </row>
    <row r="3030" spans="1:28" s="900" customFormat="1" ht="15.75" customHeight="1">
      <c r="A3030" s="895" t="str">
        <f>IF(B3030&lt;&gt;"",IF(AND(B3030&gt;=_TM1,B3030&lt;=_TM2,OR(TH!L3030="1111",TH!M3030="1111")),TH!D3030,""),"")</f>
        <v/>
      </c>
      <c r="B3030" s="896">
        <f t="shared" si="159"/>
        <v>5</v>
      </c>
      <c r="C3030" s="897">
        <f t="shared" si="160"/>
        <v>42496</v>
      </c>
      <c r="D3030" s="897" t="s">
        <v>1580</v>
      </c>
      <c r="E3030" s="869">
        <v>42496</v>
      </c>
      <c r="F3030" s="967" t="s">
        <v>1030</v>
      </c>
      <c r="G3030" s="871" t="s">
        <v>573</v>
      </c>
      <c r="H3030" s="965" t="s">
        <v>1328</v>
      </c>
      <c r="I3030" s="254">
        <v>60</v>
      </c>
      <c r="J3030" s="254">
        <v>10740.286425451623</v>
      </c>
      <c r="K3030" s="51">
        <f t="shared" si="161"/>
        <v>644417</v>
      </c>
      <c r="L3030" s="966" t="s">
        <v>172</v>
      </c>
      <c r="M3030" s="966" t="s">
        <v>167</v>
      </c>
      <c r="N3030" s="52" t="str">
        <f>IF(AND('331-CT'!$E$7=TH!H3030,OR(L3030="331",M3030="331")),"331",IF(AND(OR(L3030="131",M3030="131"),H3030='131-CT'!$E$7),"131",""))</f>
        <v/>
      </c>
      <c r="O3030" s="857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65"/>
    </row>
    <row r="3031" spans="1:28" s="900" customFormat="1" ht="15.75" customHeight="1">
      <c r="A3031" s="895" t="str">
        <f>IF(B3031&lt;&gt;"",IF(AND(B3031&gt;=_TM1,B3031&lt;=_TM2,OR(TH!L3031="1111",TH!M3031="1111")),TH!D3031,""),"")</f>
        <v/>
      </c>
      <c r="B3031" s="896">
        <f t="shared" si="159"/>
        <v>5</v>
      </c>
      <c r="C3031" s="897">
        <f t="shared" si="160"/>
        <v>42496</v>
      </c>
      <c r="D3031" s="897" t="s">
        <v>1580</v>
      </c>
      <c r="E3031" s="869">
        <v>42496</v>
      </c>
      <c r="F3031" s="967" t="s">
        <v>1031</v>
      </c>
      <c r="G3031" s="871" t="s">
        <v>573</v>
      </c>
      <c r="H3031" s="965" t="s">
        <v>1328</v>
      </c>
      <c r="I3031" s="254">
        <v>36</v>
      </c>
      <c r="J3031" s="254">
        <v>6393.027634197394</v>
      </c>
      <c r="K3031" s="51">
        <f t="shared" si="161"/>
        <v>230149</v>
      </c>
      <c r="L3031" s="966" t="s">
        <v>172</v>
      </c>
      <c r="M3031" s="966" t="s">
        <v>167</v>
      </c>
      <c r="N3031" s="52" t="str">
        <f>IF(AND('331-CT'!$E$7=TH!H3031,OR(L3031="331",M3031="331")),"331",IF(AND(OR(L3031="131",M3031="131"),H3031='131-CT'!$E$7),"131",""))</f>
        <v/>
      </c>
      <c r="O3031" s="857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65"/>
    </row>
    <row r="3032" spans="1:28" s="900" customFormat="1" ht="15.75" customHeight="1">
      <c r="A3032" s="895" t="str">
        <f>IF(B3032&lt;&gt;"",IF(AND(B3032&gt;=_TM1,B3032&lt;=_TM2,OR(TH!L3032="1111",TH!M3032="1111")),TH!D3032,""),"")</f>
        <v/>
      </c>
      <c r="B3032" s="896">
        <f t="shared" si="159"/>
        <v>5</v>
      </c>
      <c r="C3032" s="897">
        <f t="shared" si="160"/>
        <v>42496</v>
      </c>
      <c r="D3032" s="897" t="s">
        <v>1580</v>
      </c>
      <c r="E3032" s="869">
        <v>42496</v>
      </c>
      <c r="F3032" s="967" t="s">
        <v>1032</v>
      </c>
      <c r="G3032" s="871" t="s">
        <v>573</v>
      </c>
      <c r="H3032" s="965" t="s">
        <v>1328</v>
      </c>
      <c r="I3032" s="254">
        <v>24</v>
      </c>
      <c r="J3032" s="254">
        <v>22759.178377742723</v>
      </c>
      <c r="K3032" s="51">
        <f t="shared" si="161"/>
        <v>546220</v>
      </c>
      <c r="L3032" s="966" t="s">
        <v>172</v>
      </c>
      <c r="M3032" s="966" t="s">
        <v>167</v>
      </c>
      <c r="N3032" s="52" t="str">
        <f>IF(AND('331-CT'!$E$7=TH!H3032,OR(L3032="331",M3032="331")),"331",IF(AND(OR(L3032="131",M3032="131"),H3032='131-CT'!$E$7),"131",""))</f>
        <v/>
      </c>
      <c r="O3032" s="857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65"/>
    </row>
    <row r="3033" spans="1:28" s="900" customFormat="1" ht="15.75" customHeight="1">
      <c r="A3033" s="895" t="str">
        <f>IF(B3033&lt;&gt;"",IF(AND(B3033&gt;=_TM1,B3033&lt;=_TM2,OR(TH!L3033="1111",TH!M3033="1111")),TH!D3033,""),"")</f>
        <v/>
      </c>
      <c r="B3033" s="896">
        <f t="shared" si="159"/>
        <v>5</v>
      </c>
      <c r="C3033" s="897">
        <f t="shared" si="160"/>
        <v>42496</v>
      </c>
      <c r="D3033" s="897" t="s">
        <v>1580</v>
      </c>
      <c r="E3033" s="869">
        <v>42496</v>
      </c>
      <c r="F3033" s="967" t="s">
        <v>1033</v>
      </c>
      <c r="G3033" s="871" t="s">
        <v>573</v>
      </c>
      <c r="H3033" s="965" t="s">
        <v>1328</v>
      </c>
      <c r="I3033" s="254">
        <v>20</v>
      </c>
      <c r="J3033" s="254">
        <v>21906.77469318307</v>
      </c>
      <c r="K3033" s="51">
        <f t="shared" si="161"/>
        <v>438135</v>
      </c>
      <c r="L3033" s="966" t="s">
        <v>172</v>
      </c>
      <c r="M3033" s="966" t="s">
        <v>167</v>
      </c>
      <c r="N3033" s="52" t="str">
        <f>IF(AND('331-CT'!$E$7=TH!H3033,OR(L3033="331",M3033="331")),"331",IF(AND(OR(L3033="131",M3033="131"),H3033='131-CT'!$E$7),"131",""))</f>
        <v/>
      </c>
      <c r="O3033" s="857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65"/>
    </row>
    <row r="3034" spans="1:28" s="900" customFormat="1" ht="15.75" customHeight="1">
      <c r="A3034" s="895" t="str">
        <f>IF(B3034&lt;&gt;"",IF(AND(B3034&gt;=_TM1,B3034&lt;=_TM2,OR(TH!L3034="1111",TH!M3034="1111")),TH!D3034,""),"")</f>
        <v/>
      </c>
      <c r="B3034" s="896">
        <f t="shared" si="159"/>
        <v>5</v>
      </c>
      <c r="C3034" s="897">
        <f t="shared" si="160"/>
        <v>42496</v>
      </c>
      <c r="D3034" s="897" t="s">
        <v>1580</v>
      </c>
      <c r="E3034" s="869">
        <v>42496</v>
      </c>
      <c r="F3034" s="967" t="s">
        <v>1034</v>
      </c>
      <c r="G3034" s="871" t="s">
        <v>573</v>
      </c>
      <c r="H3034" s="965" t="s">
        <v>1328</v>
      </c>
      <c r="I3034" s="254">
        <v>22</v>
      </c>
      <c r="J3034" s="254">
        <v>23270.620588478516</v>
      </c>
      <c r="K3034" s="51">
        <f t="shared" si="161"/>
        <v>511954</v>
      </c>
      <c r="L3034" s="966" t="s">
        <v>172</v>
      </c>
      <c r="M3034" s="966" t="s">
        <v>167</v>
      </c>
      <c r="N3034" s="52" t="str">
        <f>IF(AND('331-CT'!$E$7=TH!H3034,OR(L3034="331",M3034="331")),"331",IF(AND(OR(L3034="131",M3034="131"),H3034='131-CT'!$E$7),"131",""))</f>
        <v/>
      </c>
      <c r="O3034" s="857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65"/>
    </row>
    <row r="3035" spans="1:28" s="900" customFormat="1" ht="15.75" customHeight="1">
      <c r="A3035" s="895" t="str">
        <f>IF(B3035&lt;&gt;"",IF(AND(B3035&gt;=_TM1,B3035&lt;=_TM2,OR(TH!L3035="1111",TH!M3035="1111")),TH!D3035,""),"")</f>
        <v/>
      </c>
      <c r="B3035" s="896">
        <f t="shared" si="159"/>
        <v>5</v>
      </c>
      <c r="C3035" s="897">
        <f t="shared" si="160"/>
        <v>42496</v>
      </c>
      <c r="D3035" s="897" t="s">
        <v>1580</v>
      </c>
      <c r="E3035" s="869">
        <v>42496</v>
      </c>
      <c r="F3035" s="967" t="s">
        <v>1035</v>
      </c>
      <c r="G3035" s="871" t="s">
        <v>573</v>
      </c>
      <c r="H3035" s="965" t="s">
        <v>1328</v>
      </c>
      <c r="I3035" s="254">
        <v>20</v>
      </c>
      <c r="J3035" s="254">
        <v>29663.648222675907</v>
      </c>
      <c r="K3035" s="51">
        <f t="shared" si="161"/>
        <v>593273</v>
      </c>
      <c r="L3035" s="966" t="s">
        <v>172</v>
      </c>
      <c r="M3035" s="966" t="s">
        <v>167</v>
      </c>
      <c r="N3035" s="52" t="str">
        <f>IF(AND('331-CT'!$E$7=TH!H3035,OR(L3035="331",M3035="331")),"331",IF(AND(OR(L3035="131",M3035="131"),H3035='131-CT'!$E$7),"131",""))</f>
        <v/>
      </c>
      <c r="O3035" s="857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65"/>
    </row>
    <row r="3036" spans="1:28" s="900" customFormat="1" ht="15.75" customHeight="1">
      <c r="A3036" s="895" t="str">
        <f>IF(B3036&lt;&gt;"",IF(AND(B3036&gt;=_TM1,B3036&lt;=_TM2,OR(TH!L3036="1111",TH!M3036="1111")),TH!D3036,""),"")</f>
        <v/>
      </c>
      <c r="B3036" s="896">
        <f t="shared" si="159"/>
        <v>5</v>
      </c>
      <c r="C3036" s="897">
        <f t="shared" si="160"/>
        <v>42496</v>
      </c>
      <c r="D3036" s="897" t="s">
        <v>1580</v>
      </c>
      <c r="E3036" s="869">
        <v>42496</v>
      </c>
      <c r="F3036" s="967" t="s">
        <v>1036</v>
      </c>
      <c r="G3036" s="871" t="s">
        <v>573</v>
      </c>
      <c r="H3036" s="965" t="s">
        <v>1328</v>
      </c>
      <c r="I3036" s="254">
        <v>20</v>
      </c>
      <c r="J3036" s="254">
        <v>25913.072010613436</v>
      </c>
      <c r="K3036" s="51">
        <f t="shared" si="161"/>
        <v>518261</v>
      </c>
      <c r="L3036" s="966" t="s">
        <v>172</v>
      </c>
      <c r="M3036" s="966" t="s">
        <v>167</v>
      </c>
      <c r="N3036" s="52" t="str">
        <f>IF(AND('331-CT'!$E$7=TH!H3036,OR(L3036="331",M3036="331")),"331",IF(AND(OR(L3036="131",M3036="131"),H3036='131-CT'!$E$7),"131",""))</f>
        <v/>
      </c>
      <c r="O3036" s="857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65"/>
    </row>
    <row r="3037" spans="1:28" s="900" customFormat="1" ht="15.75" customHeight="1">
      <c r="A3037" s="895" t="str">
        <f>IF(B3037&lt;&gt;"",IF(AND(B3037&gt;=_TM1,B3037&lt;=_TM2,OR(TH!L3037="1111",TH!M3037="1111")),TH!D3037,""),"")</f>
        <v/>
      </c>
      <c r="B3037" s="896">
        <f t="shared" si="159"/>
        <v>5</v>
      </c>
      <c r="C3037" s="897">
        <f t="shared" si="160"/>
        <v>42497</v>
      </c>
      <c r="D3037" s="897" t="s">
        <v>1580</v>
      </c>
      <c r="E3037" s="869">
        <v>42497</v>
      </c>
      <c r="F3037" s="967" t="s">
        <v>1037</v>
      </c>
      <c r="G3037" s="871" t="s">
        <v>575</v>
      </c>
      <c r="H3037" s="965" t="s">
        <v>1328</v>
      </c>
      <c r="I3037" s="254">
        <v>20</v>
      </c>
      <c r="J3037" s="254">
        <v>13808.939689866373</v>
      </c>
      <c r="K3037" s="51">
        <f t="shared" si="161"/>
        <v>276179</v>
      </c>
      <c r="L3037" s="966" t="s">
        <v>172</v>
      </c>
      <c r="M3037" s="966" t="s">
        <v>167</v>
      </c>
      <c r="N3037" s="52" t="str">
        <f>IF(AND('331-CT'!$E$7=TH!H3037,OR(L3037="331",M3037="331")),"331",IF(AND(OR(L3037="131",M3037="131"),H3037='131-CT'!$E$7),"131",""))</f>
        <v/>
      </c>
      <c r="O3037" s="857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65"/>
    </row>
    <row r="3038" spans="1:28" s="900" customFormat="1" ht="15.75" customHeight="1">
      <c r="A3038" s="895" t="str">
        <f>IF(B3038&lt;&gt;"",IF(AND(B3038&gt;=_TM1,B3038&lt;=_TM2,OR(TH!L3038="1111",TH!M3038="1111")),TH!D3038,""),"")</f>
        <v/>
      </c>
      <c r="B3038" s="896">
        <f t="shared" si="159"/>
        <v>5</v>
      </c>
      <c r="C3038" s="897">
        <f t="shared" si="160"/>
        <v>42497</v>
      </c>
      <c r="D3038" s="897" t="s">
        <v>1580</v>
      </c>
      <c r="E3038" s="869">
        <v>42497</v>
      </c>
      <c r="F3038" s="967" t="s">
        <v>1038</v>
      </c>
      <c r="G3038" s="871" t="s">
        <v>575</v>
      </c>
      <c r="H3038" s="965" t="s">
        <v>1328</v>
      </c>
      <c r="I3038" s="254">
        <v>20</v>
      </c>
      <c r="J3038" s="254">
        <v>15939.948901265503</v>
      </c>
      <c r="K3038" s="51">
        <f t="shared" si="161"/>
        <v>318799</v>
      </c>
      <c r="L3038" s="966" t="s">
        <v>172</v>
      </c>
      <c r="M3038" s="966" t="s">
        <v>167</v>
      </c>
      <c r="N3038" s="52" t="str">
        <f>IF(AND('331-CT'!$E$7=TH!H3038,OR(L3038="331",M3038="331")),"331",IF(AND(OR(L3038="131",M3038="131"),H3038='131-CT'!$E$7),"131",""))</f>
        <v/>
      </c>
      <c r="O3038" s="857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65"/>
    </row>
    <row r="3039" spans="1:28" s="900" customFormat="1" ht="15.75" customHeight="1">
      <c r="A3039" s="895" t="str">
        <f>IF(B3039&lt;&gt;"",IF(AND(B3039&gt;=_TM1,B3039&lt;=_TM2,OR(TH!L3039="1111",TH!M3039="1111")),TH!D3039,""),"")</f>
        <v/>
      </c>
      <c r="B3039" s="896">
        <f t="shared" si="159"/>
        <v>5</v>
      </c>
      <c r="C3039" s="897">
        <f t="shared" si="160"/>
        <v>42497</v>
      </c>
      <c r="D3039" s="897" t="s">
        <v>1580</v>
      </c>
      <c r="E3039" s="869">
        <v>42497</v>
      </c>
      <c r="F3039" s="967" t="s">
        <v>986</v>
      </c>
      <c r="G3039" s="871" t="s">
        <v>575</v>
      </c>
      <c r="H3039" s="965" t="s">
        <v>1328</v>
      </c>
      <c r="I3039" s="254">
        <v>107</v>
      </c>
      <c r="J3039" s="254">
        <v>19093.84253413622</v>
      </c>
      <c r="K3039" s="51">
        <f t="shared" si="161"/>
        <v>2043041</v>
      </c>
      <c r="L3039" s="966" t="s">
        <v>172</v>
      </c>
      <c r="M3039" s="966" t="s">
        <v>167</v>
      </c>
      <c r="N3039" s="52" t="str">
        <f>IF(AND('331-CT'!$E$7=TH!H3039,OR(L3039="331",M3039="331")),"331",IF(AND(OR(L3039="131",M3039="131"),H3039='131-CT'!$E$7),"131",""))</f>
        <v/>
      </c>
      <c r="O3039" s="857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65"/>
    </row>
    <row r="3040" spans="1:28" s="900" customFormat="1" ht="15.75" customHeight="1">
      <c r="A3040" s="895" t="str">
        <f>IF(B3040&lt;&gt;"",IF(AND(B3040&gt;=_TM1,B3040&lt;=_TM2,OR(TH!L3040="1111",TH!M3040="1111")),TH!D3040,""),"")</f>
        <v/>
      </c>
      <c r="B3040" s="896">
        <f t="shared" si="159"/>
        <v>5</v>
      </c>
      <c r="C3040" s="897">
        <f t="shared" si="160"/>
        <v>42497</v>
      </c>
      <c r="D3040" s="897" t="s">
        <v>1580</v>
      </c>
      <c r="E3040" s="869">
        <v>42497</v>
      </c>
      <c r="F3040" s="967" t="s">
        <v>1039</v>
      </c>
      <c r="G3040" s="871" t="s">
        <v>575</v>
      </c>
      <c r="H3040" s="965" t="s">
        <v>1328</v>
      </c>
      <c r="I3040" s="254">
        <v>26</v>
      </c>
      <c r="J3040" s="254">
        <v>14490.862637514092</v>
      </c>
      <c r="K3040" s="51">
        <f t="shared" si="161"/>
        <v>376762</v>
      </c>
      <c r="L3040" s="966" t="s">
        <v>172</v>
      </c>
      <c r="M3040" s="966" t="s">
        <v>167</v>
      </c>
      <c r="N3040" s="52" t="str">
        <f>IF(AND('331-CT'!$E$7=TH!H3040,OR(L3040="331",M3040="331")),"331",IF(AND(OR(L3040="131",M3040="131"),H3040='131-CT'!$E$7),"131",""))</f>
        <v/>
      </c>
      <c r="O3040" s="857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65"/>
    </row>
    <row r="3041" spans="1:28" s="900" customFormat="1" ht="15.75" customHeight="1">
      <c r="A3041" s="895" t="str">
        <f>IF(B3041&lt;&gt;"",IF(AND(B3041&gt;=_TM1,B3041&lt;=_TM2,OR(TH!L3041="1111",TH!M3041="1111")),TH!D3041,""),"")</f>
        <v/>
      </c>
      <c r="B3041" s="896">
        <f t="shared" si="159"/>
        <v>5</v>
      </c>
      <c r="C3041" s="897">
        <f t="shared" si="160"/>
        <v>42497</v>
      </c>
      <c r="D3041" s="897" t="s">
        <v>1580</v>
      </c>
      <c r="E3041" s="869">
        <v>42497</v>
      </c>
      <c r="F3041" s="967" t="s">
        <v>1040</v>
      </c>
      <c r="G3041" s="871" t="s">
        <v>575</v>
      </c>
      <c r="H3041" s="965" t="s">
        <v>1328</v>
      </c>
      <c r="I3041" s="254">
        <v>52</v>
      </c>
      <c r="J3041" s="254">
        <v>20798.649903255522</v>
      </c>
      <c r="K3041" s="51">
        <f t="shared" si="161"/>
        <v>1081530</v>
      </c>
      <c r="L3041" s="966" t="s">
        <v>172</v>
      </c>
      <c r="M3041" s="966" t="s">
        <v>167</v>
      </c>
      <c r="N3041" s="52" t="str">
        <f>IF(AND('331-CT'!$E$7=TH!H3041,OR(L3041="331",M3041="331")),"331",IF(AND(OR(L3041="131",M3041="131"),H3041='131-CT'!$E$7),"131",""))</f>
        <v/>
      </c>
      <c r="O3041" s="857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65"/>
    </row>
    <row r="3042" spans="1:28" s="900" customFormat="1" ht="15.75" customHeight="1">
      <c r="A3042" s="895" t="str">
        <f>IF(B3042&lt;&gt;"",IF(AND(B3042&gt;=_TM1,B3042&lt;=_TM2,OR(TH!L3042="1111",TH!M3042="1111")),TH!D3042,""),"")</f>
        <v/>
      </c>
      <c r="B3042" s="896">
        <f t="shared" si="159"/>
        <v>5</v>
      </c>
      <c r="C3042" s="897">
        <f t="shared" si="160"/>
        <v>42497</v>
      </c>
      <c r="D3042" s="897" t="s">
        <v>1580</v>
      </c>
      <c r="E3042" s="869">
        <v>42497</v>
      </c>
      <c r="F3042" s="967" t="s">
        <v>1041</v>
      </c>
      <c r="G3042" s="871" t="s">
        <v>575</v>
      </c>
      <c r="H3042" s="965" t="s">
        <v>1328</v>
      </c>
      <c r="I3042" s="254">
        <v>52</v>
      </c>
      <c r="J3042" s="254">
        <v>70834.746186907127</v>
      </c>
      <c r="K3042" s="51">
        <f t="shared" si="161"/>
        <v>3683407</v>
      </c>
      <c r="L3042" s="966" t="s">
        <v>172</v>
      </c>
      <c r="M3042" s="966" t="s">
        <v>167</v>
      </c>
      <c r="N3042" s="52" t="str">
        <f>IF(AND('331-CT'!$E$7=TH!H3042,OR(L3042="331",M3042="331")),"331",IF(AND(OR(L3042="131",M3042="131"),H3042='131-CT'!$E$7),"131",""))</f>
        <v/>
      </c>
      <c r="O3042" s="857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65"/>
    </row>
    <row r="3043" spans="1:28" s="900" customFormat="1" ht="15.75" customHeight="1">
      <c r="A3043" s="895" t="str">
        <f>IF(B3043&lt;&gt;"",IF(AND(B3043&gt;=_TM1,B3043&lt;=_TM2,OR(TH!L3043="1111",TH!M3043="1111")),TH!D3043,""),"")</f>
        <v/>
      </c>
      <c r="B3043" s="896">
        <f t="shared" si="159"/>
        <v>5</v>
      </c>
      <c r="C3043" s="897">
        <f t="shared" si="160"/>
        <v>42497</v>
      </c>
      <c r="D3043" s="897" t="s">
        <v>1580</v>
      </c>
      <c r="E3043" s="869">
        <v>42497</v>
      </c>
      <c r="F3043" s="967" t="s">
        <v>1042</v>
      </c>
      <c r="G3043" s="871" t="s">
        <v>575</v>
      </c>
      <c r="H3043" s="965" t="s">
        <v>1328</v>
      </c>
      <c r="I3043" s="254">
        <v>51</v>
      </c>
      <c r="J3043" s="254">
        <v>58560.133129248134</v>
      </c>
      <c r="K3043" s="51">
        <f t="shared" si="161"/>
        <v>2986567</v>
      </c>
      <c r="L3043" s="966" t="s">
        <v>172</v>
      </c>
      <c r="M3043" s="966" t="s">
        <v>167</v>
      </c>
      <c r="N3043" s="52" t="str">
        <f>IF(AND('331-CT'!$E$7=TH!H3043,OR(L3043="331",M3043="331")),"331",IF(AND(OR(L3043="131",M3043="131"),H3043='131-CT'!$E$7),"131",""))</f>
        <v/>
      </c>
      <c r="O3043" s="857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65"/>
    </row>
    <row r="3044" spans="1:28" s="900" customFormat="1" ht="15.75" customHeight="1">
      <c r="A3044" s="895" t="str">
        <f>IF(B3044&lt;&gt;"",IF(AND(B3044&gt;=_TM1,B3044&lt;=_TM2,OR(TH!L3044="1111",TH!M3044="1111")),TH!D3044,""),"")</f>
        <v/>
      </c>
      <c r="B3044" s="896">
        <f t="shared" si="159"/>
        <v>5</v>
      </c>
      <c r="C3044" s="897">
        <f t="shared" si="160"/>
        <v>42497</v>
      </c>
      <c r="D3044" s="897" t="s">
        <v>1580</v>
      </c>
      <c r="E3044" s="869">
        <v>42497</v>
      </c>
      <c r="F3044" s="967" t="s">
        <v>1043</v>
      </c>
      <c r="G3044" s="871" t="s">
        <v>575</v>
      </c>
      <c r="H3044" s="965" t="s">
        <v>1328</v>
      </c>
      <c r="I3044" s="254">
        <v>56</v>
      </c>
      <c r="J3044" s="254">
        <v>34181.387750842063</v>
      </c>
      <c r="K3044" s="51">
        <f t="shared" si="161"/>
        <v>1914158</v>
      </c>
      <c r="L3044" s="966" t="s">
        <v>172</v>
      </c>
      <c r="M3044" s="966" t="s">
        <v>167</v>
      </c>
      <c r="N3044" s="52" t="str">
        <f>IF(AND('331-CT'!$E$7=TH!H3044,OR(L3044="331",M3044="331")),"331",IF(AND(OR(L3044="131",M3044="131"),H3044='131-CT'!$E$7),"131",""))</f>
        <v/>
      </c>
      <c r="O3044" s="857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65"/>
    </row>
    <row r="3045" spans="1:28" s="900" customFormat="1" ht="15.75" customHeight="1">
      <c r="A3045" s="895" t="str">
        <f>IF(B3045&lt;&gt;"",IF(AND(B3045&gt;=_TM1,B3045&lt;=_TM2,OR(TH!L3045="1111",TH!M3045="1111")),TH!D3045,""),"")</f>
        <v/>
      </c>
      <c r="B3045" s="896">
        <f t="shared" si="159"/>
        <v>5</v>
      </c>
      <c r="C3045" s="897">
        <f t="shared" si="160"/>
        <v>42497</v>
      </c>
      <c r="D3045" s="897" t="s">
        <v>1580</v>
      </c>
      <c r="E3045" s="869">
        <v>42497</v>
      </c>
      <c r="F3045" s="967" t="s">
        <v>1044</v>
      </c>
      <c r="G3045" s="871" t="s">
        <v>575</v>
      </c>
      <c r="H3045" s="965" t="s">
        <v>1328</v>
      </c>
      <c r="I3045" s="254">
        <v>50</v>
      </c>
      <c r="J3045" s="254">
        <v>41767.780543422974</v>
      </c>
      <c r="K3045" s="51">
        <f t="shared" si="161"/>
        <v>2088389</v>
      </c>
      <c r="L3045" s="966" t="s">
        <v>172</v>
      </c>
      <c r="M3045" s="966" t="s">
        <v>167</v>
      </c>
      <c r="N3045" s="52" t="str">
        <f>IF(AND('331-CT'!$E$7=TH!H3045,OR(L3045="331",M3045="331")),"331",IF(AND(OR(L3045="131",M3045="131"),H3045='131-CT'!$E$7),"131",""))</f>
        <v/>
      </c>
      <c r="O3045" s="857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65"/>
    </row>
    <row r="3046" spans="1:28" s="900" customFormat="1" ht="15.75" customHeight="1">
      <c r="A3046" s="895" t="str">
        <f>IF(B3046&lt;&gt;"",IF(AND(B3046&gt;=_TM1,B3046&lt;=_TM2,OR(TH!L3046="1111",TH!M3046="1111")),TH!D3046,""),"")</f>
        <v/>
      </c>
      <c r="B3046" s="896">
        <f t="shared" si="159"/>
        <v>5</v>
      </c>
      <c r="C3046" s="897">
        <f t="shared" si="160"/>
        <v>42499</v>
      </c>
      <c r="D3046" s="897" t="s">
        <v>1580</v>
      </c>
      <c r="E3046" s="869">
        <v>42499</v>
      </c>
      <c r="F3046" s="967" t="s">
        <v>466</v>
      </c>
      <c r="G3046" s="871" t="s">
        <v>576</v>
      </c>
      <c r="H3046" s="965" t="s">
        <v>1328</v>
      </c>
      <c r="I3046" s="254">
        <v>281</v>
      </c>
      <c r="J3046" s="254">
        <v>5796.3450550056377</v>
      </c>
      <c r="K3046" s="51">
        <f t="shared" si="161"/>
        <v>1628773</v>
      </c>
      <c r="L3046" s="966" t="s">
        <v>172</v>
      </c>
      <c r="M3046" s="966" t="s">
        <v>167</v>
      </c>
      <c r="N3046" s="52" t="str">
        <f>IF(AND('331-CT'!$E$7=TH!H3046,OR(L3046="331",M3046="331")),"331",IF(AND(OR(L3046="131",M3046="131"),H3046='131-CT'!$E$7),"131",""))</f>
        <v/>
      </c>
      <c r="O3046" s="857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65"/>
    </row>
    <row r="3047" spans="1:28" s="900" customFormat="1" ht="15.75" customHeight="1">
      <c r="A3047" s="895" t="str">
        <f>IF(B3047&lt;&gt;"",IF(AND(B3047&gt;=_TM1,B3047&lt;=_TM2,OR(TH!L3047="1111",TH!M3047="1111")),TH!D3047,""),"")</f>
        <v/>
      </c>
      <c r="B3047" s="896">
        <f t="shared" si="159"/>
        <v>5</v>
      </c>
      <c r="C3047" s="897">
        <f t="shared" si="160"/>
        <v>42499</v>
      </c>
      <c r="D3047" s="897" t="s">
        <v>1580</v>
      </c>
      <c r="E3047" s="869">
        <v>42499</v>
      </c>
      <c r="F3047" s="967" t="s">
        <v>466</v>
      </c>
      <c r="G3047" s="871" t="s">
        <v>576</v>
      </c>
      <c r="H3047" s="965" t="s">
        <v>1328</v>
      </c>
      <c r="I3047" s="254">
        <v>495</v>
      </c>
      <c r="J3047" s="254">
        <v>5796.3450550056377</v>
      </c>
      <c r="K3047" s="51">
        <f t="shared" si="161"/>
        <v>2869191</v>
      </c>
      <c r="L3047" s="966" t="s">
        <v>172</v>
      </c>
      <c r="M3047" s="966" t="s">
        <v>167</v>
      </c>
      <c r="N3047" s="52" t="str">
        <f>IF(AND('331-CT'!$E$7=TH!H3047,OR(L3047="331",M3047="331")),"331",IF(AND(OR(L3047="131",M3047="131"),H3047='131-CT'!$E$7),"131",""))</f>
        <v/>
      </c>
      <c r="O3047" s="857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65"/>
    </row>
    <row r="3048" spans="1:28" s="900" customFormat="1" ht="15.75" customHeight="1">
      <c r="A3048" s="895" t="str">
        <f>IF(B3048&lt;&gt;"",IF(AND(B3048&gt;=_TM1,B3048&lt;=_TM2,OR(TH!L3048="1111",TH!M3048="1111")),TH!D3048,""),"")</f>
        <v/>
      </c>
      <c r="B3048" s="896">
        <f t="shared" si="159"/>
        <v>5</v>
      </c>
      <c r="C3048" s="897">
        <f t="shared" si="160"/>
        <v>42499</v>
      </c>
      <c r="D3048" s="897" t="s">
        <v>1580</v>
      </c>
      <c r="E3048" s="869">
        <v>42499</v>
      </c>
      <c r="F3048" s="967" t="s">
        <v>504</v>
      </c>
      <c r="G3048" s="871" t="s">
        <v>577</v>
      </c>
      <c r="H3048" s="965" t="s">
        <v>1328</v>
      </c>
      <c r="I3048" s="254">
        <v>65</v>
      </c>
      <c r="J3048" s="254">
        <v>10910.767162363552</v>
      </c>
      <c r="K3048" s="51">
        <f t="shared" si="161"/>
        <v>709200</v>
      </c>
      <c r="L3048" s="966" t="s">
        <v>172</v>
      </c>
      <c r="M3048" s="966" t="s">
        <v>167</v>
      </c>
      <c r="N3048" s="52" t="str">
        <f>IF(AND('331-CT'!$E$7=TH!H3048,OR(L3048="331",M3048="331")),"331",IF(AND(OR(L3048="131",M3048="131"),H3048='131-CT'!$E$7),"131",""))</f>
        <v/>
      </c>
      <c r="O3048" s="857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65"/>
    </row>
    <row r="3049" spans="1:28" s="900" customFormat="1" ht="15.75" customHeight="1">
      <c r="A3049" s="895" t="str">
        <f>IF(B3049&lt;&gt;"",IF(AND(B3049&gt;=_TM1,B3049&lt;=_TM2,OR(TH!L3049="1111",TH!M3049="1111")),TH!D3049,""),"")</f>
        <v/>
      </c>
      <c r="B3049" s="896">
        <f t="shared" si="159"/>
        <v>5</v>
      </c>
      <c r="C3049" s="897">
        <f t="shared" si="160"/>
        <v>42499</v>
      </c>
      <c r="D3049" s="897" t="s">
        <v>1580</v>
      </c>
      <c r="E3049" s="869">
        <v>42499</v>
      </c>
      <c r="F3049" s="967" t="s">
        <v>1045</v>
      </c>
      <c r="G3049" s="871" t="s">
        <v>577</v>
      </c>
      <c r="H3049" s="965" t="s">
        <v>1328</v>
      </c>
      <c r="I3049" s="254">
        <v>105</v>
      </c>
      <c r="J3049" s="254">
        <v>9802.6423724360029</v>
      </c>
      <c r="K3049" s="51">
        <f t="shared" si="161"/>
        <v>1029277</v>
      </c>
      <c r="L3049" s="966" t="s">
        <v>172</v>
      </c>
      <c r="M3049" s="966" t="s">
        <v>167</v>
      </c>
      <c r="N3049" s="52" t="str">
        <f>IF(AND('331-CT'!$E$7=TH!H3049,OR(L3049="331",M3049="331")),"331",IF(AND(OR(L3049="131",M3049="131"),H3049='131-CT'!$E$7),"131",""))</f>
        <v/>
      </c>
      <c r="O3049" s="857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65"/>
    </row>
    <row r="3050" spans="1:28" s="900" customFormat="1" ht="15.75" customHeight="1">
      <c r="A3050" s="895" t="str">
        <f>IF(B3050&lt;&gt;"",IF(AND(B3050&gt;=_TM1,B3050&lt;=_TM2,OR(TH!L3050="1111",TH!M3050="1111")),TH!D3050,""),"")</f>
        <v/>
      </c>
      <c r="B3050" s="896">
        <f t="shared" si="159"/>
        <v>5</v>
      </c>
      <c r="C3050" s="897">
        <f t="shared" si="160"/>
        <v>42499</v>
      </c>
      <c r="D3050" s="897" t="s">
        <v>1580</v>
      </c>
      <c r="E3050" s="869">
        <v>42499</v>
      </c>
      <c r="F3050" s="967" t="s">
        <v>1046</v>
      </c>
      <c r="G3050" s="871" t="s">
        <v>577</v>
      </c>
      <c r="H3050" s="965" t="s">
        <v>1328</v>
      </c>
      <c r="I3050" s="254">
        <v>130</v>
      </c>
      <c r="J3050" s="254">
        <v>6478.268002653359</v>
      </c>
      <c r="K3050" s="51">
        <f t="shared" si="161"/>
        <v>842175</v>
      </c>
      <c r="L3050" s="966" t="s">
        <v>172</v>
      </c>
      <c r="M3050" s="966" t="s">
        <v>167</v>
      </c>
      <c r="N3050" s="52" t="str">
        <f>IF(AND('331-CT'!$E$7=TH!H3050,OR(L3050="331",M3050="331")),"331",IF(AND(OR(L3050="131",M3050="131"),H3050='131-CT'!$E$7),"131",""))</f>
        <v/>
      </c>
      <c r="O3050" s="857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65"/>
    </row>
    <row r="3051" spans="1:28" s="900" customFormat="1" ht="15.75" customHeight="1">
      <c r="A3051" s="895" t="str">
        <f>IF(B3051&lt;&gt;"",IF(AND(B3051&gt;=_TM1,B3051&lt;=_TM2,OR(TH!L3051="1111",TH!M3051="1111")),TH!D3051,""),"")</f>
        <v/>
      </c>
      <c r="B3051" s="896">
        <f t="shared" si="159"/>
        <v>5</v>
      </c>
      <c r="C3051" s="897">
        <f t="shared" si="160"/>
        <v>42499</v>
      </c>
      <c r="D3051" s="897" t="s">
        <v>1580</v>
      </c>
      <c r="E3051" s="869">
        <v>42499</v>
      </c>
      <c r="F3051" s="967" t="s">
        <v>510</v>
      </c>
      <c r="G3051" s="871" t="s">
        <v>577</v>
      </c>
      <c r="H3051" s="965" t="s">
        <v>1328</v>
      </c>
      <c r="I3051" s="254">
        <v>356</v>
      </c>
      <c r="J3051" s="254">
        <v>10825.526793907587</v>
      </c>
      <c r="K3051" s="51">
        <f t="shared" si="161"/>
        <v>3853888</v>
      </c>
      <c r="L3051" s="966" t="s">
        <v>172</v>
      </c>
      <c r="M3051" s="966" t="s">
        <v>167</v>
      </c>
      <c r="N3051" s="52" t="str">
        <f>IF(AND('331-CT'!$E$7=TH!H3051,OR(L3051="331",M3051="331")),"331",IF(AND(OR(L3051="131",M3051="131"),H3051='131-CT'!$E$7),"131",""))</f>
        <v/>
      </c>
      <c r="O3051" s="857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65"/>
    </row>
    <row r="3052" spans="1:28" s="900" customFormat="1" ht="15.75" customHeight="1">
      <c r="A3052" s="895" t="str">
        <f>IF(B3052&lt;&gt;"",IF(AND(B3052&gt;=_TM1,B3052&lt;=_TM2,OR(TH!L3052="1111",TH!M3052="1111")),TH!D3052,""),"")</f>
        <v/>
      </c>
      <c r="B3052" s="896">
        <f t="shared" si="159"/>
        <v>5</v>
      </c>
      <c r="C3052" s="897">
        <f t="shared" si="160"/>
        <v>42500</v>
      </c>
      <c r="D3052" s="897" t="s">
        <v>1580</v>
      </c>
      <c r="E3052" s="869">
        <v>42500</v>
      </c>
      <c r="F3052" s="967" t="s">
        <v>510</v>
      </c>
      <c r="G3052" s="871" t="s">
        <v>578</v>
      </c>
      <c r="H3052" s="965" t="s">
        <v>1328</v>
      </c>
      <c r="I3052" s="254">
        <v>102</v>
      </c>
      <c r="J3052" s="254">
        <v>10825.526793907587</v>
      </c>
      <c r="K3052" s="51">
        <f t="shared" si="161"/>
        <v>1104204</v>
      </c>
      <c r="L3052" s="966" t="s">
        <v>172</v>
      </c>
      <c r="M3052" s="966" t="s">
        <v>167</v>
      </c>
      <c r="N3052" s="52" t="str">
        <f>IF(AND('331-CT'!$E$7=TH!H3052,OR(L3052="331",M3052="331")),"331",IF(AND(OR(L3052="131",M3052="131"),H3052='131-CT'!$E$7),"131",""))</f>
        <v/>
      </c>
      <c r="O3052" s="857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65"/>
    </row>
    <row r="3053" spans="1:28" s="900" customFormat="1" ht="15.75" customHeight="1">
      <c r="A3053" s="895" t="str">
        <f>IF(B3053&lt;&gt;"",IF(AND(B3053&gt;=_TM1,B3053&lt;=_TM2,OR(TH!L3053="1111",TH!M3053="1111")),TH!D3053,""),"")</f>
        <v/>
      </c>
      <c r="B3053" s="896">
        <f t="shared" si="159"/>
        <v>5</v>
      </c>
      <c r="C3053" s="897">
        <f t="shared" si="160"/>
        <v>42500</v>
      </c>
      <c r="D3053" s="897" t="s">
        <v>1580</v>
      </c>
      <c r="E3053" s="869">
        <v>42500</v>
      </c>
      <c r="F3053" s="967" t="s">
        <v>1047</v>
      </c>
      <c r="G3053" s="871" t="s">
        <v>578</v>
      </c>
      <c r="H3053" s="965" t="s">
        <v>1328</v>
      </c>
      <c r="I3053" s="254">
        <v>198</v>
      </c>
      <c r="J3053" s="254">
        <v>10825.526793907587</v>
      </c>
      <c r="K3053" s="51">
        <f t="shared" si="161"/>
        <v>2143454</v>
      </c>
      <c r="L3053" s="966" t="s">
        <v>172</v>
      </c>
      <c r="M3053" s="966" t="s">
        <v>167</v>
      </c>
      <c r="N3053" s="52" t="str">
        <f>IF(AND('331-CT'!$E$7=TH!H3053,OR(L3053="331",M3053="331")),"331",IF(AND(OR(L3053="131",M3053="131"),H3053='131-CT'!$E$7),"131",""))</f>
        <v/>
      </c>
      <c r="O3053" s="857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65"/>
    </row>
    <row r="3054" spans="1:28" s="900" customFormat="1" ht="15.75" customHeight="1">
      <c r="A3054" s="895" t="str">
        <f>IF(B3054&lt;&gt;"",IF(AND(B3054&gt;=_TM1,B3054&lt;=_TM2,OR(TH!L3054="1111",TH!M3054="1111")),TH!D3054,""),"")</f>
        <v/>
      </c>
      <c r="B3054" s="896">
        <f t="shared" si="159"/>
        <v>5</v>
      </c>
      <c r="C3054" s="897">
        <f t="shared" si="160"/>
        <v>42500</v>
      </c>
      <c r="D3054" s="897" t="s">
        <v>1580</v>
      </c>
      <c r="E3054" s="869">
        <v>42500</v>
      </c>
      <c r="F3054" s="967" t="s">
        <v>1046</v>
      </c>
      <c r="G3054" s="871" t="s">
        <v>578</v>
      </c>
      <c r="H3054" s="965" t="s">
        <v>1328</v>
      </c>
      <c r="I3054" s="254">
        <v>260</v>
      </c>
      <c r="J3054" s="254">
        <v>6478.268002653359</v>
      </c>
      <c r="K3054" s="51">
        <f t="shared" si="161"/>
        <v>1684350</v>
      </c>
      <c r="L3054" s="966" t="s">
        <v>172</v>
      </c>
      <c r="M3054" s="966" t="s">
        <v>167</v>
      </c>
      <c r="N3054" s="52" t="str">
        <f>IF(AND('331-CT'!$E$7=TH!H3054,OR(L3054="331",M3054="331")),"331",IF(AND(OR(L3054="131",M3054="131"),H3054='131-CT'!$E$7),"131",""))</f>
        <v/>
      </c>
      <c r="O3054" s="857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65"/>
    </row>
    <row r="3055" spans="1:28" s="900" customFormat="1" ht="15.75" customHeight="1">
      <c r="A3055" s="895" t="str">
        <f>IF(B3055&lt;&gt;"",IF(AND(B3055&gt;=_TM1,B3055&lt;=_TM2,OR(TH!L3055="1111",TH!M3055="1111")),TH!D3055,""),"")</f>
        <v/>
      </c>
      <c r="B3055" s="896">
        <f t="shared" si="159"/>
        <v>5</v>
      </c>
      <c r="C3055" s="897">
        <f t="shared" si="160"/>
        <v>42500</v>
      </c>
      <c r="D3055" s="897" t="s">
        <v>1580</v>
      </c>
      <c r="E3055" s="869">
        <v>42500</v>
      </c>
      <c r="F3055" s="967" t="s">
        <v>1233</v>
      </c>
      <c r="G3055" s="871" t="s">
        <v>578</v>
      </c>
      <c r="H3055" s="965" t="s">
        <v>1328</v>
      </c>
      <c r="I3055" s="254">
        <v>400</v>
      </c>
      <c r="J3055" s="254">
        <v>340.96147382386101</v>
      </c>
      <c r="K3055" s="51">
        <f t="shared" si="161"/>
        <v>136385</v>
      </c>
      <c r="L3055" s="966" t="s">
        <v>172</v>
      </c>
      <c r="M3055" s="966" t="s">
        <v>167</v>
      </c>
      <c r="N3055" s="52" t="str">
        <f>IF(AND('331-CT'!$E$7=TH!H3055,OR(L3055="331",M3055="331")),"331",IF(AND(OR(L3055="131",M3055="131"),H3055='131-CT'!$E$7),"131",""))</f>
        <v/>
      </c>
      <c r="O3055" s="857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65"/>
    </row>
    <row r="3056" spans="1:28" s="900" customFormat="1" ht="15.75" customHeight="1">
      <c r="A3056" s="895" t="str">
        <f>IF(B3056&lt;&gt;"",IF(AND(B3056&gt;=_TM1,B3056&lt;=_TM2,OR(TH!L3056="1111",TH!M3056="1111")),TH!D3056,""),"")</f>
        <v/>
      </c>
      <c r="B3056" s="896">
        <f t="shared" si="159"/>
        <v>5</v>
      </c>
      <c r="C3056" s="897">
        <f t="shared" si="160"/>
        <v>42500</v>
      </c>
      <c r="D3056" s="897" t="s">
        <v>1580</v>
      </c>
      <c r="E3056" s="869">
        <v>42500</v>
      </c>
      <c r="F3056" s="967" t="s">
        <v>1234</v>
      </c>
      <c r="G3056" s="871" t="s">
        <v>578</v>
      </c>
      <c r="H3056" s="965" t="s">
        <v>1328</v>
      </c>
      <c r="I3056" s="254">
        <v>780</v>
      </c>
      <c r="J3056" s="254">
        <v>255.72110536789575</v>
      </c>
      <c r="K3056" s="51">
        <f t="shared" si="161"/>
        <v>199462</v>
      </c>
      <c r="L3056" s="966" t="s">
        <v>172</v>
      </c>
      <c r="M3056" s="966" t="s">
        <v>167</v>
      </c>
      <c r="N3056" s="52" t="str">
        <f>IF(AND('331-CT'!$E$7=TH!H3056,OR(L3056="331",M3056="331")),"331",IF(AND(OR(L3056="131",M3056="131"),H3056='131-CT'!$E$7),"131",""))</f>
        <v/>
      </c>
      <c r="O3056" s="857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65"/>
    </row>
    <row r="3057" spans="1:28" s="900" customFormat="1" ht="15.75" customHeight="1">
      <c r="A3057" s="895" t="str">
        <f>IF(B3057&lt;&gt;"",IF(AND(B3057&gt;=_TM1,B3057&lt;=_TM2,OR(TH!L3057="1111",TH!M3057="1111")),TH!D3057,""),"")</f>
        <v/>
      </c>
      <c r="B3057" s="896">
        <f t="shared" si="159"/>
        <v>5</v>
      </c>
      <c r="C3057" s="897">
        <f t="shared" si="160"/>
        <v>42500</v>
      </c>
      <c r="D3057" s="897" t="s">
        <v>1580</v>
      </c>
      <c r="E3057" s="869">
        <v>42500</v>
      </c>
      <c r="F3057" s="967" t="s">
        <v>1048</v>
      </c>
      <c r="G3057" s="871" t="s">
        <v>580</v>
      </c>
      <c r="H3057" s="965" t="s">
        <v>1328</v>
      </c>
      <c r="I3057" s="254">
        <v>48</v>
      </c>
      <c r="J3057" s="254">
        <v>48587.010019900197</v>
      </c>
      <c r="K3057" s="51">
        <f t="shared" si="161"/>
        <v>2332176</v>
      </c>
      <c r="L3057" s="966" t="s">
        <v>172</v>
      </c>
      <c r="M3057" s="966" t="s">
        <v>167</v>
      </c>
      <c r="N3057" s="52" t="str">
        <f>IF(AND('331-CT'!$E$7=TH!H3057,OR(L3057="331",M3057="331")),"331",IF(AND(OR(L3057="131",M3057="131"),H3057='131-CT'!$E$7),"131",""))</f>
        <v/>
      </c>
      <c r="O3057" s="857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65"/>
    </row>
    <row r="3058" spans="1:28" s="900" customFormat="1" ht="15.75" customHeight="1">
      <c r="A3058" s="895" t="str">
        <f>IF(B3058&lt;&gt;"",IF(AND(B3058&gt;=_TM1,B3058&lt;=_TM2,OR(TH!L3058="1111",TH!M3058="1111")),TH!D3058,""),"")</f>
        <v/>
      </c>
      <c r="B3058" s="896">
        <f t="shared" si="159"/>
        <v>5</v>
      </c>
      <c r="C3058" s="897">
        <f t="shared" si="160"/>
        <v>42500</v>
      </c>
      <c r="D3058" s="897" t="s">
        <v>1580</v>
      </c>
      <c r="E3058" s="869">
        <v>42500</v>
      </c>
      <c r="F3058" s="967" t="s">
        <v>1025</v>
      </c>
      <c r="G3058" s="871" t="s">
        <v>580</v>
      </c>
      <c r="H3058" s="965" t="s">
        <v>1328</v>
      </c>
      <c r="I3058" s="254">
        <v>500</v>
      </c>
      <c r="J3058" s="254">
        <v>14320.381900602162</v>
      </c>
      <c r="K3058" s="51">
        <f t="shared" si="161"/>
        <v>7160191</v>
      </c>
      <c r="L3058" s="966" t="s">
        <v>172</v>
      </c>
      <c r="M3058" s="966" t="s">
        <v>167</v>
      </c>
      <c r="N3058" s="52" t="str">
        <f>IF(AND('331-CT'!$E$7=TH!H3058,OR(L3058="331",M3058="331")),"331",IF(AND(OR(L3058="131",M3058="131"),H3058='131-CT'!$E$7),"131",""))</f>
        <v/>
      </c>
      <c r="O3058" s="857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65"/>
    </row>
    <row r="3059" spans="1:28" s="900" customFormat="1" ht="15.75" customHeight="1">
      <c r="A3059" s="895" t="str">
        <f>IF(B3059&lt;&gt;"",IF(AND(B3059&gt;=_TM1,B3059&lt;=_TM2,OR(TH!L3059="1111",TH!M3059="1111")),TH!D3059,""),"")</f>
        <v/>
      </c>
      <c r="B3059" s="896">
        <f t="shared" si="159"/>
        <v>5</v>
      </c>
      <c r="C3059" s="897">
        <f t="shared" si="160"/>
        <v>42500</v>
      </c>
      <c r="D3059" s="897" t="s">
        <v>1580</v>
      </c>
      <c r="E3059" s="869">
        <v>42500</v>
      </c>
      <c r="F3059" s="967" t="s">
        <v>1049</v>
      </c>
      <c r="G3059" s="871" t="s">
        <v>580</v>
      </c>
      <c r="H3059" s="965" t="s">
        <v>1328</v>
      </c>
      <c r="I3059" s="254">
        <v>50</v>
      </c>
      <c r="J3059" s="254">
        <v>41512.059438055083</v>
      </c>
      <c r="K3059" s="51">
        <f t="shared" si="161"/>
        <v>2075603</v>
      </c>
      <c r="L3059" s="966" t="s">
        <v>172</v>
      </c>
      <c r="M3059" s="966" t="s">
        <v>167</v>
      </c>
      <c r="N3059" s="52" t="str">
        <f>IF(AND('331-CT'!$E$7=TH!H3059,OR(L3059="331",M3059="331")),"331",IF(AND(OR(L3059="131",M3059="131"),H3059='131-CT'!$E$7),"131",""))</f>
        <v/>
      </c>
      <c r="O3059" s="857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65"/>
    </row>
    <row r="3060" spans="1:28" s="900" customFormat="1" ht="15.75" customHeight="1">
      <c r="A3060" s="895" t="str">
        <f>IF(B3060&lt;&gt;"",IF(AND(B3060&gt;=_TM1,B3060&lt;=_TM2,OR(TH!L3060="1111",TH!M3060="1111")),TH!D3060,""),"")</f>
        <v/>
      </c>
      <c r="B3060" s="896">
        <f t="shared" si="159"/>
        <v>5</v>
      </c>
      <c r="C3060" s="897">
        <f t="shared" si="160"/>
        <v>42500</v>
      </c>
      <c r="D3060" s="897" t="s">
        <v>1580</v>
      </c>
      <c r="E3060" s="869">
        <v>42500</v>
      </c>
      <c r="F3060" s="967" t="s">
        <v>1050</v>
      </c>
      <c r="G3060" s="871" t="s">
        <v>580</v>
      </c>
      <c r="H3060" s="965" t="s">
        <v>1328</v>
      </c>
      <c r="I3060" s="254">
        <v>23</v>
      </c>
      <c r="J3060" s="254">
        <v>65720.324079549217</v>
      </c>
      <c r="K3060" s="51">
        <f t="shared" si="161"/>
        <v>1511567</v>
      </c>
      <c r="L3060" s="966" t="s">
        <v>172</v>
      </c>
      <c r="M3060" s="966" t="s">
        <v>167</v>
      </c>
      <c r="N3060" s="52" t="str">
        <f>IF(AND('331-CT'!$E$7=TH!H3060,OR(L3060="331",M3060="331")),"331",IF(AND(OR(L3060="131",M3060="131"),H3060='131-CT'!$E$7),"131",""))</f>
        <v/>
      </c>
      <c r="O3060" s="857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65"/>
    </row>
    <row r="3061" spans="1:28" s="900" customFormat="1" ht="15.75" customHeight="1">
      <c r="A3061" s="895" t="str">
        <f>IF(B3061&lt;&gt;"",IF(AND(B3061&gt;=_TM1,B3061&lt;=_TM2,OR(TH!L3061="1111",TH!M3061="1111")),TH!D3061,""),"")</f>
        <v/>
      </c>
      <c r="B3061" s="896">
        <f t="shared" si="159"/>
        <v>5</v>
      </c>
      <c r="C3061" s="897">
        <f t="shared" si="160"/>
        <v>42500</v>
      </c>
      <c r="D3061" s="897" t="s">
        <v>1580</v>
      </c>
      <c r="E3061" s="869">
        <v>42500</v>
      </c>
      <c r="F3061" s="967" t="s">
        <v>1051</v>
      </c>
      <c r="G3061" s="871" t="s">
        <v>580</v>
      </c>
      <c r="H3061" s="965" t="s">
        <v>1328</v>
      </c>
      <c r="I3061" s="254">
        <v>5</v>
      </c>
      <c r="J3061" s="254">
        <v>56514.364286304961</v>
      </c>
      <c r="K3061" s="51">
        <f t="shared" si="161"/>
        <v>282572</v>
      </c>
      <c r="L3061" s="966" t="s">
        <v>172</v>
      </c>
      <c r="M3061" s="966" t="s">
        <v>167</v>
      </c>
      <c r="N3061" s="52" t="str">
        <f>IF(AND('331-CT'!$E$7=TH!H3061,OR(L3061="331",M3061="331")),"331",IF(AND(OR(L3061="131",M3061="131"),H3061='131-CT'!$E$7),"131",""))</f>
        <v/>
      </c>
      <c r="O3061" s="857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65"/>
    </row>
    <row r="3062" spans="1:28" s="900" customFormat="1" ht="15.75" customHeight="1">
      <c r="A3062" s="895" t="str">
        <f>IF(B3062&lt;&gt;"",IF(AND(B3062&gt;=_TM1,B3062&lt;=_TM2,OR(TH!L3062="1111",TH!M3062="1111")),TH!D3062,""),"")</f>
        <v/>
      </c>
      <c r="B3062" s="896">
        <f t="shared" si="159"/>
        <v>5</v>
      </c>
      <c r="C3062" s="897">
        <f t="shared" si="160"/>
        <v>42500</v>
      </c>
      <c r="D3062" s="897" t="s">
        <v>1580</v>
      </c>
      <c r="E3062" s="869">
        <v>42500</v>
      </c>
      <c r="F3062" s="967" t="s">
        <v>1052</v>
      </c>
      <c r="G3062" s="871" t="s">
        <v>580</v>
      </c>
      <c r="H3062" s="965" t="s">
        <v>1328</v>
      </c>
      <c r="I3062" s="254">
        <v>50</v>
      </c>
      <c r="J3062" s="254">
        <v>50462.298125931433</v>
      </c>
      <c r="K3062" s="51">
        <f t="shared" si="161"/>
        <v>2523115</v>
      </c>
      <c r="L3062" s="966" t="s">
        <v>172</v>
      </c>
      <c r="M3062" s="966" t="s">
        <v>167</v>
      </c>
      <c r="N3062" s="52" t="str">
        <f>IF(AND('331-CT'!$E$7=TH!H3062,OR(L3062="331",M3062="331")),"331",IF(AND(OR(L3062="131",M3062="131"),H3062='131-CT'!$E$7),"131",""))</f>
        <v/>
      </c>
      <c r="O3062" s="857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65"/>
    </row>
    <row r="3063" spans="1:28" s="900" customFormat="1" ht="15.75" customHeight="1">
      <c r="A3063" s="895" t="str">
        <f>IF(B3063&lt;&gt;"",IF(AND(B3063&gt;=_TM1,B3063&lt;=_TM2,OR(TH!L3063="1111",TH!M3063="1111")),TH!D3063,""),"")</f>
        <v/>
      </c>
      <c r="B3063" s="896">
        <f t="shared" si="159"/>
        <v>5</v>
      </c>
      <c r="C3063" s="897">
        <f t="shared" si="160"/>
        <v>42500</v>
      </c>
      <c r="D3063" s="897" t="s">
        <v>1580</v>
      </c>
      <c r="E3063" s="869">
        <v>42500</v>
      </c>
      <c r="F3063" s="967" t="s">
        <v>1053</v>
      </c>
      <c r="G3063" s="871" t="s">
        <v>580</v>
      </c>
      <c r="H3063" s="965" t="s">
        <v>1328</v>
      </c>
      <c r="I3063" s="254">
        <v>50</v>
      </c>
      <c r="J3063" s="254">
        <v>79444.023400959617</v>
      </c>
      <c r="K3063" s="51">
        <f t="shared" si="161"/>
        <v>3972201</v>
      </c>
      <c r="L3063" s="966" t="s">
        <v>172</v>
      </c>
      <c r="M3063" s="966" t="s">
        <v>167</v>
      </c>
      <c r="N3063" s="52" t="str">
        <f>IF(AND('331-CT'!$E$7=TH!H3063,OR(L3063="331",M3063="331")),"331",IF(AND(OR(L3063="131",M3063="131"),H3063='131-CT'!$E$7),"131",""))</f>
        <v/>
      </c>
      <c r="O3063" s="857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65"/>
    </row>
    <row r="3064" spans="1:28" s="900" customFormat="1" ht="15.75" customHeight="1">
      <c r="A3064" s="895" t="str">
        <f>IF(B3064&lt;&gt;"",IF(AND(B3064&gt;=_TM1,B3064&lt;=_TM2,OR(TH!L3064="1111",TH!M3064="1111")),TH!D3064,""),"")</f>
        <v/>
      </c>
      <c r="B3064" s="896">
        <f t="shared" si="159"/>
        <v>5</v>
      </c>
      <c r="C3064" s="897">
        <f t="shared" si="160"/>
        <v>42500</v>
      </c>
      <c r="D3064" s="897" t="s">
        <v>1580</v>
      </c>
      <c r="E3064" s="869">
        <v>42500</v>
      </c>
      <c r="F3064" s="967" t="s">
        <v>1054</v>
      </c>
      <c r="G3064" s="871" t="s">
        <v>580</v>
      </c>
      <c r="H3064" s="965" t="s">
        <v>1328</v>
      </c>
      <c r="I3064" s="254">
        <v>49</v>
      </c>
      <c r="J3064" s="254">
        <v>58730.613866160056</v>
      </c>
      <c r="K3064" s="51">
        <f t="shared" si="161"/>
        <v>2877800</v>
      </c>
      <c r="L3064" s="966" t="s">
        <v>172</v>
      </c>
      <c r="M3064" s="966" t="s">
        <v>167</v>
      </c>
      <c r="N3064" s="52" t="str">
        <f>IF(AND('331-CT'!$E$7=TH!H3064,OR(L3064="331",M3064="331")),"331",IF(AND(OR(L3064="131",M3064="131"),H3064='131-CT'!$E$7),"131",""))</f>
        <v/>
      </c>
      <c r="O3064" s="857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65"/>
    </row>
    <row r="3065" spans="1:28" s="900" customFormat="1" ht="15.75" customHeight="1">
      <c r="A3065" s="895" t="str">
        <f>IF(B3065&lt;&gt;"",IF(AND(B3065&gt;=_TM1,B3065&lt;=_TM2,OR(TH!L3065="1111",TH!M3065="1111")),TH!D3065,""),"")</f>
        <v/>
      </c>
      <c r="B3065" s="896">
        <f t="shared" si="159"/>
        <v>5</v>
      </c>
      <c r="C3065" s="897">
        <f t="shared" si="160"/>
        <v>42502</v>
      </c>
      <c r="D3065" s="897" t="s">
        <v>1580</v>
      </c>
      <c r="E3065" s="869">
        <v>42502</v>
      </c>
      <c r="F3065" s="967" t="s">
        <v>675</v>
      </c>
      <c r="G3065" s="871" t="s">
        <v>582</v>
      </c>
      <c r="H3065" s="965" t="s">
        <v>1328</v>
      </c>
      <c r="I3065" s="254">
        <v>50</v>
      </c>
      <c r="J3065" s="254">
        <v>9717.402003980038</v>
      </c>
      <c r="K3065" s="51">
        <f t="shared" si="161"/>
        <v>485870</v>
      </c>
      <c r="L3065" s="966" t="s">
        <v>172</v>
      </c>
      <c r="M3065" s="966" t="s">
        <v>167</v>
      </c>
      <c r="N3065" s="52" t="str">
        <f>IF(AND('331-CT'!$E$7=TH!H3065,OR(L3065="331",M3065="331")),"331",IF(AND(OR(L3065="131",M3065="131"),H3065='131-CT'!$E$7),"131",""))</f>
        <v/>
      </c>
      <c r="O3065" s="857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65"/>
    </row>
    <row r="3066" spans="1:28" s="900" customFormat="1" ht="15.75" customHeight="1">
      <c r="A3066" s="895" t="str">
        <f>IF(B3066&lt;&gt;"",IF(AND(B3066&gt;=_TM1,B3066&lt;=_TM2,OR(TH!L3066="1111",TH!M3066="1111")),TH!D3066,""),"")</f>
        <v/>
      </c>
      <c r="B3066" s="896">
        <f t="shared" ref="B3066:B3129" si="162">IF(C3066&lt;&gt;"",MONTH(C3066),"")</f>
        <v>5</v>
      </c>
      <c r="C3066" s="897">
        <f t="shared" si="160"/>
        <v>42502</v>
      </c>
      <c r="D3066" s="897" t="s">
        <v>1580</v>
      </c>
      <c r="E3066" s="869">
        <v>42502</v>
      </c>
      <c r="F3066" s="967" t="s">
        <v>675</v>
      </c>
      <c r="G3066" s="871" t="s">
        <v>582</v>
      </c>
      <c r="H3066" s="965" t="s">
        <v>1328</v>
      </c>
      <c r="I3066" s="254">
        <v>1019</v>
      </c>
      <c r="J3066" s="254">
        <v>9717.402003980038</v>
      </c>
      <c r="K3066" s="51">
        <f t="shared" si="161"/>
        <v>9902033</v>
      </c>
      <c r="L3066" s="966" t="s">
        <v>172</v>
      </c>
      <c r="M3066" s="966" t="s">
        <v>167</v>
      </c>
      <c r="N3066" s="52" t="str">
        <f>IF(AND('331-CT'!$E$7=TH!H3066,OR(L3066="331",M3066="331")),"331",IF(AND(OR(L3066="131",M3066="131"),H3066='131-CT'!$E$7),"131",""))</f>
        <v/>
      </c>
      <c r="O3066" s="857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65"/>
    </row>
    <row r="3067" spans="1:28" s="900" customFormat="1" ht="15.75" customHeight="1">
      <c r="A3067" s="895" t="str">
        <f>IF(B3067&lt;&gt;"",IF(AND(B3067&gt;=_TM1,B3067&lt;=_TM2,OR(TH!L3067="1111",TH!M3067="1111")),TH!D3067,""),"")</f>
        <v/>
      </c>
      <c r="B3067" s="896">
        <f t="shared" si="162"/>
        <v>5</v>
      </c>
      <c r="C3067" s="897">
        <f t="shared" si="160"/>
        <v>42502</v>
      </c>
      <c r="D3067" s="897" t="s">
        <v>1580</v>
      </c>
      <c r="E3067" s="869">
        <v>42502</v>
      </c>
      <c r="F3067" s="967" t="s">
        <v>723</v>
      </c>
      <c r="G3067" s="871" t="s">
        <v>582</v>
      </c>
      <c r="H3067" s="965" t="s">
        <v>1328</v>
      </c>
      <c r="I3067" s="254">
        <v>2138</v>
      </c>
      <c r="J3067" s="254">
        <v>767.16331610368729</v>
      </c>
      <c r="K3067" s="51">
        <f t="shared" si="161"/>
        <v>1640195</v>
      </c>
      <c r="L3067" s="966" t="s">
        <v>172</v>
      </c>
      <c r="M3067" s="966" t="s">
        <v>167</v>
      </c>
      <c r="N3067" s="52" t="str">
        <f>IF(AND('331-CT'!$E$7=TH!H3067,OR(L3067="331",M3067="331")),"331",IF(AND(OR(L3067="131",M3067="131"),H3067='131-CT'!$E$7),"131",""))</f>
        <v/>
      </c>
      <c r="O3067" s="857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65"/>
    </row>
    <row r="3068" spans="1:28" s="900" customFormat="1" ht="15.75" customHeight="1">
      <c r="A3068" s="895" t="str">
        <f>IF(B3068&lt;&gt;"",IF(AND(B3068&gt;=_TM1,B3068&lt;=_TM2,OR(TH!L3068="1111",TH!M3068="1111")),TH!D3068,""),"")</f>
        <v/>
      </c>
      <c r="B3068" s="896">
        <f t="shared" si="162"/>
        <v>5</v>
      </c>
      <c r="C3068" s="897">
        <f t="shared" si="160"/>
        <v>42502</v>
      </c>
      <c r="D3068" s="897" t="s">
        <v>1580</v>
      </c>
      <c r="E3068" s="869">
        <v>42502</v>
      </c>
      <c r="F3068" s="967" t="s">
        <v>419</v>
      </c>
      <c r="G3068" s="871" t="s">
        <v>583</v>
      </c>
      <c r="H3068" s="965" t="s">
        <v>1328</v>
      </c>
      <c r="I3068" s="254">
        <v>1236</v>
      </c>
      <c r="J3068" s="254">
        <v>6989.7102133891503</v>
      </c>
      <c r="K3068" s="51">
        <f t="shared" si="161"/>
        <v>8639282</v>
      </c>
      <c r="L3068" s="966" t="s">
        <v>172</v>
      </c>
      <c r="M3068" s="966" t="s">
        <v>167</v>
      </c>
      <c r="N3068" s="52" t="str">
        <f>IF(AND('331-CT'!$E$7=TH!H3068,OR(L3068="331",M3068="331")),"331",IF(AND(OR(L3068="131",M3068="131"),H3068='131-CT'!$E$7),"131",""))</f>
        <v/>
      </c>
      <c r="O3068" s="857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65"/>
    </row>
    <row r="3069" spans="1:28" s="900" customFormat="1" ht="15.75" customHeight="1">
      <c r="A3069" s="895" t="str">
        <f>IF(B3069&lt;&gt;"",IF(AND(B3069&gt;=_TM1,B3069&lt;=_TM2,OR(TH!L3069="1111",TH!M3069="1111")),TH!D3069,""),"")</f>
        <v/>
      </c>
      <c r="B3069" s="896">
        <f t="shared" si="162"/>
        <v>5</v>
      </c>
      <c r="C3069" s="897">
        <f t="shared" si="160"/>
        <v>42502</v>
      </c>
      <c r="D3069" s="897" t="s">
        <v>1580</v>
      </c>
      <c r="E3069" s="869">
        <v>42502</v>
      </c>
      <c r="F3069" s="967" t="s">
        <v>444</v>
      </c>
      <c r="G3069" s="871" t="s">
        <v>583</v>
      </c>
      <c r="H3069" s="965" t="s">
        <v>1328</v>
      </c>
      <c r="I3069" s="254">
        <v>300</v>
      </c>
      <c r="J3069" s="254">
        <v>7756.8735294928383</v>
      </c>
      <c r="K3069" s="51">
        <f t="shared" si="161"/>
        <v>2327062</v>
      </c>
      <c r="L3069" s="966" t="s">
        <v>172</v>
      </c>
      <c r="M3069" s="966" t="s">
        <v>167</v>
      </c>
      <c r="N3069" s="52" t="str">
        <f>IF(AND('331-CT'!$E$7=TH!H3069,OR(L3069="331",M3069="331")),"331",IF(AND(OR(L3069="131",M3069="131"),H3069='131-CT'!$E$7),"131",""))</f>
        <v/>
      </c>
      <c r="O3069" s="857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65"/>
    </row>
    <row r="3070" spans="1:28" s="900" customFormat="1" ht="15.75" customHeight="1">
      <c r="A3070" s="895" t="str">
        <f>IF(B3070&lt;&gt;"",IF(AND(B3070&gt;=_TM1,B3070&lt;=_TM2,OR(TH!L3070="1111",TH!M3070="1111")),TH!D3070,""),"")</f>
        <v/>
      </c>
      <c r="B3070" s="896">
        <f t="shared" si="162"/>
        <v>5</v>
      </c>
      <c r="C3070" s="897">
        <f t="shared" si="160"/>
        <v>42502</v>
      </c>
      <c r="D3070" s="897" t="s">
        <v>1580</v>
      </c>
      <c r="E3070" s="869">
        <v>42502</v>
      </c>
      <c r="F3070" s="967" t="s">
        <v>484</v>
      </c>
      <c r="G3070" s="871" t="s">
        <v>583</v>
      </c>
      <c r="H3070" s="965" t="s">
        <v>1328</v>
      </c>
      <c r="I3070" s="254">
        <v>310</v>
      </c>
      <c r="J3070" s="254">
        <v>16366.150743545328</v>
      </c>
      <c r="K3070" s="51">
        <f t="shared" si="161"/>
        <v>5073507</v>
      </c>
      <c r="L3070" s="966" t="s">
        <v>172</v>
      </c>
      <c r="M3070" s="966" t="s">
        <v>167</v>
      </c>
      <c r="N3070" s="52" t="str">
        <f>IF(AND('331-CT'!$E$7=TH!H3070,OR(L3070="331",M3070="331")),"331",IF(AND(OR(L3070="131",M3070="131"),H3070='131-CT'!$E$7),"131",""))</f>
        <v/>
      </c>
      <c r="O3070" s="857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65"/>
    </row>
    <row r="3071" spans="1:28" s="900" customFormat="1" ht="15.75" customHeight="1">
      <c r="A3071" s="895" t="str">
        <f>IF(B3071&lt;&gt;"",IF(AND(B3071&gt;=_TM1,B3071&lt;=_TM2,OR(TH!L3071="1111",TH!M3071="1111")),TH!D3071,""),"")</f>
        <v/>
      </c>
      <c r="B3071" s="896">
        <f t="shared" si="162"/>
        <v>5</v>
      </c>
      <c r="C3071" s="897">
        <f t="shared" ref="C3071:C3134" si="163">E3071</f>
        <v>42503</v>
      </c>
      <c r="D3071" s="897" t="s">
        <v>1580</v>
      </c>
      <c r="E3071" s="869">
        <v>42503</v>
      </c>
      <c r="F3071" s="967" t="s">
        <v>668</v>
      </c>
      <c r="G3071" s="871" t="s">
        <v>584</v>
      </c>
      <c r="H3071" s="965" t="s">
        <v>1328</v>
      </c>
      <c r="I3071" s="254">
        <v>307</v>
      </c>
      <c r="J3071" s="254">
        <v>6819.2294764772205</v>
      </c>
      <c r="K3071" s="51">
        <f t="shared" si="161"/>
        <v>2093503</v>
      </c>
      <c r="L3071" s="966" t="s">
        <v>172</v>
      </c>
      <c r="M3071" s="966" t="s">
        <v>167</v>
      </c>
      <c r="N3071" s="52" t="str">
        <f>IF(AND('331-CT'!$E$7=TH!H3071,OR(L3071="331",M3071="331")),"331",IF(AND(OR(L3071="131",M3071="131"),H3071='131-CT'!$E$7),"131",""))</f>
        <v/>
      </c>
      <c r="O3071" s="857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65"/>
    </row>
    <row r="3072" spans="1:28" s="900" customFormat="1" ht="15.75" customHeight="1">
      <c r="A3072" s="895" t="str">
        <f>IF(B3072&lt;&gt;"",IF(AND(B3072&gt;=_TM1,B3072&lt;=_TM2,OR(TH!L3072="1111",TH!M3072="1111")),TH!D3072,""),"")</f>
        <v/>
      </c>
      <c r="B3072" s="896">
        <f t="shared" si="162"/>
        <v>5</v>
      </c>
      <c r="C3072" s="897">
        <f t="shared" si="163"/>
        <v>42503</v>
      </c>
      <c r="D3072" s="897" t="s">
        <v>1580</v>
      </c>
      <c r="E3072" s="869">
        <v>42503</v>
      </c>
      <c r="F3072" s="967" t="s">
        <v>669</v>
      </c>
      <c r="G3072" s="871" t="s">
        <v>584</v>
      </c>
      <c r="H3072" s="965" t="s">
        <v>1328</v>
      </c>
      <c r="I3072" s="254">
        <v>302</v>
      </c>
      <c r="J3072" s="254">
        <v>7927.3542664047691</v>
      </c>
      <c r="K3072" s="51">
        <f t="shared" ref="K3072:K3135" si="164">ROUND(I3072*J3072,0)</f>
        <v>2394061</v>
      </c>
      <c r="L3072" s="966" t="s">
        <v>172</v>
      </c>
      <c r="M3072" s="966" t="s">
        <v>167</v>
      </c>
      <c r="N3072" s="52" t="str">
        <f>IF(AND('331-CT'!$E$7=TH!H3072,OR(L3072="331",M3072="331")),"331",IF(AND(OR(L3072="131",M3072="131"),H3072='131-CT'!$E$7),"131",""))</f>
        <v/>
      </c>
      <c r="O3072" s="857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65"/>
    </row>
    <row r="3073" spans="1:28" s="900" customFormat="1" ht="15.75" customHeight="1">
      <c r="A3073" s="895" t="str">
        <f>IF(B3073&lt;&gt;"",IF(AND(B3073&gt;=_TM1,B3073&lt;=_TM2,OR(TH!L3073="1111",TH!M3073="1111")),TH!D3073,""),"")</f>
        <v/>
      </c>
      <c r="B3073" s="896">
        <f t="shared" si="162"/>
        <v>5</v>
      </c>
      <c r="C3073" s="897">
        <f t="shared" si="163"/>
        <v>42503</v>
      </c>
      <c r="D3073" s="897" t="s">
        <v>1580</v>
      </c>
      <c r="E3073" s="869">
        <v>42503</v>
      </c>
      <c r="F3073" s="967" t="s">
        <v>670</v>
      </c>
      <c r="G3073" s="871" t="s">
        <v>584</v>
      </c>
      <c r="H3073" s="965" t="s">
        <v>1328</v>
      </c>
      <c r="I3073" s="254">
        <v>396</v>
      </c>
      <c r="J3073" s="254">
        <v>14235.141532146197</v>
      </c>
      <c r="K3073" s="51">
        <f t="shared" si="164"/>
        <v>5637116</v>
      </c>
      <c r="L3073" s="966" t="s">
        <v>172</v>
      </c>
      <c r="M3073" s="966" t="s">
        <v>167</v>
      </c>
      <c r="N3073" s="52" t="str">
        <f>IF(AND('331-CT'!$E$7=TH!H3073,OR(L3073="331",M3073="331")),"331",IF(AND(OR(L3073="131",M3073="131"),H3073='131-CT'!$E$7),"131",""))</f>
        <v/>
      </c>
      <c r="O3073" s="857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65"/>
    </row>
    <row r="3074" spans="1:28" s="900" customFormat="1" ht="15.75" customHeight="1">
      <c r="A3074" s="895" t="str">
        <f>IF(B3074&lt;&gt;"",IF(AND(B3074&gt;=_TM1,B3074&lt;=_TM2,OR(TH!L3074="1111",TH!M3074="1111")),TH!D3074,""),"")</f>
        <v/>
      </c>
      <c r="B3074" s="896">
        <f t="shared" si="162"/>
        <v>5</v>
      </c>
      <c r="C3074" s="897">
        <f t="shared" si="163"/>
        <v>42503</v>
      </c>
      <c r="D3074" s="897" t="s">
        <v>1580</v>
      </c>
      <c r="E3074" s="869">
        <v>42503</v>
      </c>
      <c r="F3074" s="967" t="s">
        <v>1055</v>
      </c>
      <c r="G3074" s="871" t="s">
        <v>585</v>
      </c>
      <c r="H3074" s="965" t="s">
        <v>1328</v>
      </c>
      <c r="I3074" s="254">
        <v>592</v>
      </c>
      <c r="J3074" s="254">
        <v>7842.1138979488032</v>
      </c>
      <c r="K3074" s="51">
        <f t="shared" si="164"/>
        <v>4642531</v>
      </c>
      <c r="L3074" s="966" t="s">
        <v>172</v>
      </c>
      <c r="M3074" s="966" t="s">
        <v>167</v>
      </c>
      <c r="N3074" s="52" t="str">
        <f>IF(AND('331-CT'!$E$7=TH!H3074,OR(L3074="331",M3074="331")),"331",IF(AND(OR(L3074="131",M3074="131"),H3074='131-CT'!$E$7),"131",""))</f>
        <v/>
      </c>
      <c r="O3074" s="857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65"/>
    </row>
    <row r="3075" spans="1:28" s="900" customFormat="1" ht="15.75" customHeight="1">
      <c r="A3075" s="895" t="str">
        <f>IF(B3075&lt;&gt;"",IF(AND(B3075&gt;=_TM1,B3075&lt;=_TM2,OR(TH!L3075="1111",TH!M3075="1111")),TH!D3075,""),"")</f>
        <v/>
      </c>
      <c r="B3075" s="896">
        <f t="shared" si="162"/>
        <v>5</v>
      </c>
      <c r="C3075" s="897">
        <f t="shared" si="163"/>
        <v>42507</v>
      </c>
      <c r="D3075" s="897" t="s">
        <v>1580</v>
      </c>
      <c r="E3075" s="869">
        <v>42507</v>
      </c>
      <c r="F3075" s="967" t="s">
        <v>510</v>
      </c>
      <c r="G3075" s="871" t="s">
        <v>589</v>
      </c>
      <c r="H3075" s="965" t="s">
        <v>1328</v>
      </c>
      <c r="I3075" s="254">
        <v>360</v>
      </c>
      <c r="J3075" s="254">
        <v>10825.526793907587</v>
      </c>
      <c r="K3075" s="51">
        <f t="shared" si="164"/>
        <v>3897190</v>
      </c>
      <c r="L3075" s="966" t="s">
        <v>172</v>
      </c>
      <c r="M3075" s="966" t="s">
        <v>167</v>
      </c>
      <c r="N3075" s="52" t="str">
        <f>IF(AND('331-CT'!$E$7=TH!H3075,OR(L3075="331",M3075="331")),"331",IF(AND(OR(L3075="131",M3075="131"),H3075='131-CT'!$E$7),"131",""))</f>
        <v/>
      </c>
      <c r="O3075" s="857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65"/>
    </row>
    <row r="3076" spans="1:28" s="900" customFormat="1" ht="15.75" customHeight="1">
      <c r="A3076" s="895" t="str">
        <f>IF(B3076&lt;&gt;"",IF(AND(B3076&gt;=_TM1,B3076&lt;=_TM2,OR(TH!L3076="1111",TH!M3076="1111")),TH!D3076,""),"")</f>
        <v/>
      </c>
      <c r="B3076" s="896">
        <f t="shared" si="162"/>
        <v>5</v>
      </c>
      <c r="C3076" s="897">
        <f t="shared" si="163"/>
        <v>42507</v>
      </c>
      <c r="D3076" s="897" t="s">
        <v>1580</v>
      </c>
      <c r="E3076" s="869">
        <v>42507</v>
      </c>
      <c r="F3076" s="967" t="s">
        <v>692</v>
      </c>
      <c r="G3076" s="871" t="s">
        <v>589</v>
      </c>
      <c r="H3076" s="965" t="s">
        <v>1328</v>
      </c>
      <c r="I3076" s="254">
        <v>1000</v>
      </c>
      <c r="J3076" s="254">
        <v>6222.5468972854633</v>
      </c>
      <c r="K3076" s="51">
        <f t="shared" si="164"/>
        <v>6222547</v>
      </c>
      <c r="L3076" s="966" t="s">
        <v>172</v>
      </c>
      <c r="M3076" s="966" t="s">
        <v>167</v>
      </c>
      <c r="N3076" s="52" t="str">
        <f>IF(AND('331-CT'!$E$7=TH!H3076,OR(L3076="331",M3076="331")),"331",IF(AND(OR(L3076="131",M3076="131"),H3076='131-CT'!$E$7),"131",""))</f>
        <v/>
      </c>
      <c r="O3076" s="857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65"/>
    </row>
    <row r="3077" spans="1:28" s="900" customFormat="1" ht="15.75" customHeight="1">
      <c r="A3077" s="895" t="str">
        <f>IF(B3077&lt;&gt;"",IF(AND(B3077&gt;=_TM1,B3077&lt;=_TM2,OR(TH!L3077="1111",TH!M3077="1111")),TH!D3077,""),"")</f>
        <v/>
      </c>
      <c r="B3077" s="896">
        <f t="shared" si="162"/>
        <v>5</v>
      </c>
      <c r="C3077" s="897">
        <f t="shared" si="163"/>
        <v>42507</v>
      </c>
      <c r="D3077" s="897" t="s">
        <v>1580</v>
      </c>
      <c r="E3077" s="869">
        <v>42507</v>
      </c>
      <c r="F3077" s="967" t="s">
        <v>1079</v>
      </c>
      <c r="G3077" s="871" t="s">
        <v>589</v>
      </c>
      <c r="H3077" s="965" t="s">
        <v>1328</v>
      </c>
      <c r="I3077" s="254">
        <v>55</v>
      </c>
      <c r="J3077" s="254">
        <v>9973.1231093479346</v>
      </c>
      <c r="K3077" s="51">
        <f t="shared" si="164"/>
        <v>548522</v>
      </c>
      <c r="L3077" s="966" t="s">
        <v>172</v>
      </c>
      <c r="M3077" s="966" t="s">
        <v>167</v>
      </c>
      <c r="N3077" s="52" t="str">
        <f>IF(AND('331-CT'!$E$7=TH!H3077,OR(L3077="331",M3077="331")),"331",IF(AND(OR(L3077="131",M3077="131"),H3077='131-CT'!$E$7),"131",""))</f>
        <v/>
      </c>
      <c r="O3077" s="857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65"/>
    </row>
    <row r="3078" spans="1:28" s="900" customFormat="1" ht="15.75" customHeight="1">
      <c r="A3078" s="895" t="str">
        <f>IF(B3078&lt;&gt;"",IF(AND(B3078&gt;=_TM1,B3078&lt;=_TM2,OR(TH!L3078="1111",TH!M3078="1111")),TH!D3078,""),"")</f>
        <v/>
      </c>
      <c r="B3078" s="896">
        <f t="shared" si="162"/>
        <v>5</v>
      </c>
      <c r="C3078" s="897">
        <f t="shared" si="163"/>
        <v>42507</v>
      </c>
      <c r="D3078" s="897" t="s">
        <v>1580</v>
      </c>
      <c r="E3078" s="869">
        <v>42507</v>
      </c>
      <c r="F3078" s="967" t="s">
        <v>947</v>
      </c>
      <c r="G3078" s="871" t="s">
        <v>589</v>
      </c>
      <c r="H3078" s="965" t="s">
        <v>1328</v>
      </c>
      <c r="I3078" s="254">
        <v>110</v>
      </c>
      <c r="J3078" s="254">
        <v>11251.728636187414</v>
      </c>
      <c r="K3078" s="51">
        <f t="shared" si="164"/>
        <v>1237690</v>
      </c>
      <c r="L3078" s="966" t="s">
        <v>172</v>
      </c>
      <c r="M3078" s="966" t="s">
        <v>167</v>
      </c>
      <c r="N3078" s="52" t="str">
        <f>IF(AND('331-CT'!$E$7=TH!H3078,OR(L3078="331",M3078="331")),"331",IF(AND(OR(L3078="131",M3078="131"),H3078='131-CT'!$E$7),"131",""))</f>
        <v/>
      </c>
      <c r="O3078" s="857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65"/>
    </row>
    <row r="3079" spans="1:28" s="900" customFormat="1" ht="15.75" customHeight="1">
      <c r="A3079" s="895" t="str">
        <f>IF(B3079&lt;&gt;"",IF(AND(B3079&gt;=_TM1,B3079&lt;=_TM2,OR(TH!L3079="1111",TH!M3079="1111")),TH!D3079,""),"")</f>
        <v/>
      </c>
      <c r="B3079" s="896">
        <f t="shared" si="162"/>
        <v>5</v>
      </c>
      <c r="C3079" s="897">
        <f t="shared" si="163"/>
        <v>42507</v>
      </c>
      <c r="D3079" s="897" t="s">
        <v>1580</v>
      </c>
      <c r="E3079" s="869">
        <v>42507</v>
      </c>
      <c r="F3079" s="967" t="s">
        <v>510</v>
      </c>
      <c r="G3079" s="871" t="s">
        <v>590</v>
      </c>
      <c r="H3079" s="965" t="s">
        <v>1328</v>
      </c>
      <c r="I3079" s="254">
        <v>237</v>
      </c>
      <c r="J3079" s="254">
        <v>10825.526793907587</v>
      </c>
      <c r="K3079" s="51">
        <f t="shared" si="164"/>
        <v>2565650</v>
      </c>
      <c r="L3079" s="966" t="s">
        <v>172</v>
      </c>
      <c r="M3079" s="966" t="s">
        <v>167</v>
      </c>
      <c r="N3079" s="52" t="str">
        <f>IF(AND('331-CT'!$E$7=TH!H3079,OR(L3079="331",M3079="331")),"331",IF(AND(OR(L3079="131",M3079="131"),H3079='131-CT'!$E$7),"131",""))</f>
        <v/>
      </c>
      <c r="O3079" s="857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65"/>
    </row>
    <row r="3080" spans="1:28" s="900" customFormat="1" ht="15.75" customHeight="1">
      <c r="A3080" s="895" t="str">
        <f>IF(B3080&lt;&gt;"",IF(AND(B3080&gt;=_TM1,B3080&lt;=_TM2,OR(TH!L3080="1111",TH!M3080="1111")),TH!D3080,""),"")</f>
        <v/>
      </c>
      <c r="B3080" s="896">
        <f t="shared" si="162"/>
        <v>5</v>
      </c>
      <c r="C3080" s="897">
        <f t="shared" si="163"/>
        <v>42507</v>
      </c>
      <c r="D3080" s="897" t="s">
        <v>1580</v>
      </c>
      <c r="E3080" s="869">
        <v>42507</v>
      </c>
      <c r="F3080" s="967" t="s">
        <v>675</v>
      </c>
      <c r="G3080" s="871" t="s">
        <v>590</v>
      </c>
      <c r="H3080" s="965" t="s">
        <v>1328</v>
      </c>
      <c r="I3080" s="254">
        <v>55</v>
      </c>
      <c r="J3080" s="254">
        <v>9717.402003980038</v>
      </c>
      <c r="K3080" s="51">
        <f t="shared" si="164"/>
        <v>534457</v>
      </c>
      <c r="L3080" s="966" t="s">
        <v>172</v>
      </c>
      <c r="M3080" s="966" t="s">
        <v>167</v>
      </c>
      <c r="N3080" s="52" t="str">
        <f>IF(AND('331-CT'!$E$7=TH!H3080,OR(L3080="331",M3080="331")),"331",IF(AND(OR(L3080="131",M3080="131"),H3080='131-CT'!$E$7),"131",""))</f>
        <v/>
      </c>
      <c r="O3080" s="857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65"/>
    </row>
    <row r="3081" spans="1:28" s="900" customFormat="1" ht="15.75" customHeight="1">
      <c r="A3081" s="895" t="str">
        <f>IF(B3081&lt;&gt;"",IF(AND(B3081&gt;=_TM1,B3081&lt;=_TM2,OR(TH!L3081="1111",TH!M3081="1111")),TH!D3081,""),"")</f>
        <v/>
      </c>
      <c r="B3081" s="896">
        <f t="shared" si="162"/>
        <v>5</v>
      </c>
      <c r="C3081" s="897">
        <f t="shared" si="163"/>
        <v>42507</v>
      </c>
      <c r="D3081" s="897" t="s">
        <v>1580</v>
      </c>
      <c r="E3081" s="869">
        <v>42507</v>
      </c>
      <c r="F3081" s="967" t="s">
        <v>504</v>
      </c>
      <c r="G3081" s="871" t="s">
        <v>590</v>
      </c>
      <c r="H3081" s="965" t="s">
        <v>1328</v>
      </c>
      <c r="I3081" s="254">
        <v>44</v>
      </c>
      <c r="J3081" s="254">
        <v>10910.767162363552</v>
      </c>
      <c r="K3081" s="51">
        <f t="shared" si="164"/>
        <v>480074</v>
      </c>
      <c r="L3081" s="966" t="s">
        <v>172</v>
      </c>
      <c r="M3081" s="966" t="s">
        <v>167</v>
      </c>
      <c r="N3081" s="52" t="str">
        <f>IF(AND('331-CT'!$E$7=TH!H3081,OR(L3081="331",M3081="331")),"331",IF(AND(OR(L3081="131",M3081="131"),H3081='131-CT'!$E$7),"131",""))</f>
        <v/>
      </c>
      <c r="O3081" s="857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65"/>
    </row>
    <row r="3082" spans="1:28" s="900" customFormat="1" ht="15.75" customHeight="1">
      <c r="A3082" s="895" t="str">
        <f>IF(B3082&lt;&gt;"",IF(AND(B3082&gt;=_TM1,B3082&lt;=_TM2,OR(TH!L3082="1111",TH!M3082="1111")),TH!D3082,""),"")</f>
        <v/>
      </c>
      <c r="B3082" s="896">
        <f t="shared" si="162"/>
        <v>5</v>
      </c>
      <c r="C3082" s="897">
        <f t="shared" si="163"/>
        <v>42507</v>
      </c>
      <c r="D3082" s="897" t="s">
        <v>1580</v>
      </c>
      <c r="E3082" s="869">
        <v>42507</v>
      </c>
      <c r="F3082" s="967" t="s">
        <v>928</v>
      </c>
      <c r="G3082" s="871" t="s">
        <v>590</v>
      </c>
      <c r="H3082" s="965" t="s">
        <v>1328</v>
      </c>
      <c r="I3082" s="254">
        <v>135</v>
      </c>
      <c r="J3082" s="254">
        <v>12359.853426114962</v>
      </c>
      <c r="K3082" s="51">
        <f t="shared" si="164"/>
        <v>1668580</v>
      </c>
      <c r="L3082" s="966" t="s">
        <v>172</v>
      </c>
      <c r="M3082" s="966" t="s">
        <v>167</v>
      </c>
      <c r="N3082" s="52" t="str">
        <f>IF(AND('331-CT'!$E$7=TH!H3082,OR(L3082="331",M3082="331")),"331",IF(AND(OR(L3082="131",M3082="131"),H3082='131-CT'!$E$7),"131",""))</f>
        <v/>
      </c>
      <c r="O3082" s="857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65"/>
    </row>
    <row r="3083" spans="1:28" s="900" customFormat="1" ht="15.75" customHeight="1">
      <c r="A3083" s="895" t="str">
        <f>IF(B3083&lt;&gt;"",IF(AND(B3083&gt;=_TM1,B3083&lt;=_TM2,OR(TH!L3083="1111",TH!M3083="1111")),TH!D3083,""),"")</f>
        <v/>
      </c>
      <c r="B3083" s="896">
        <f t="shared" si="162"/>
        <v>5</v>
      </c>
      <c r="C3083" s="897">
        <f t="shared" si="163"/>
        <v>42507</v>
      </c>
      <c r="D3083" s="897" t="s">
        <v>1580</v>
      </c>
      <c r="E3083" s="869">
        <v>42507</v>
      </c>
      <c r="F3083" s="967" t="s">
        <v>448</v>
      </c>
      <c r="G3083" s="871" t="s">
        <v>591</v>
      </c>
      <c r="H3083" s="965" t="s">
        <v>1328</v>
      </c>
      <c r="I3083" s="254">
        <v>103</v>
      </c>
      <c r="J3083" s="254">
        <v>61799.267130574808</v>
      </c>
      <c r="K3083" s="51">
        <f t="shared" si="164"/>
        <v>6365325</v>
      </c>
      <c r="L3083" s="966" t="s">
        <v>172</v>
      </c>
      <c r="M3083" s="966" t="s">
        <v>167</v>
      </c>
      <c r="N3083" s="52" t="str">
        <f>IF(AND('331-CT'!$E$7=TH!H3083,OR(L3083="331",M3083="331")),"331",IF(AND(OR(L3083="131",M3083="131"),H3083='131-CT'!$E$7),"131",""))</f>
        <v/>
      </c>
      <c r="O3083" s="857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65"/>
    </row>
    <row r="3084" spans="1:28" s="900" customFormat="1" ht="15.75" customHeight="1">
      <c r="A3084" s="895" t="str">
        <f>IF(B3084&lt;&gt;"",IF(AND(B3084&gt;=_TM1,B3084&lt;=_TM2,OR(TH!L3084="1111",TH!M3084="1111")),TH!D3084,""),"")</f>
        <v/>
      </c>
      <c r="B3084" s="896">
        <f t="shared" si="162"/>
        <v>5</v>
      </c>
      <c r="C3084" s="897">
        <f t="shared" si="163"/>
        <v>42507</v>
      </c>
      <c r="D3084" s="897" t="s">
        <v>1580</v>
      </c>
      <c r="E3084" s="869">
        <v>42507</v>
      </c>
      <c r="F3084" s="967" t="s">
        <v>943</v>
      </c>
      <c r="G3084" s="871" t="s">
        <v>591</v>
      </c>
      <c r="H3084" s="965" t="s">
        <v>1328</v>
      </c>
      <c r="I3084" s="254">
        <v>60</v>
      </c>
      <c r="J3084" s="254">
        <v>64441.718552709732</v>
      </c>
      <c r="K3084" s="51">
        <f t="shared" si="164"/>
        <v>3866503</v>
      </c>
      <c r="L3084" s="966" t="s">
        <v>172</v>
      </c>
      <c r="M3084" s="966" t="s">
        <v>167</v>
      </c>
      <c r="N3084" s="52" t="str">
        <f>IF(AND('331-CT'!$E$7=TH!H3084,OR(L3084="331",M3084="331")),"331",IF(AND(OR(L3084="131",M3084="131"),H3084='131-CT'!$E$7),"131",""))</f>
        <v/>
      </c>
      <c r="O3084" s="857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65"/>
    </row>
    <row r="3085" spans="1:28" s="900" customFormat="1" ht="15.75" customHeight="1">
      <c r="A3085" s="895" t="str">
        <f>IF(B3085&lt;&gt;"",IF(AND(B3085&gt;=_TM1,B3085&lt;=_TM2,OR(TH!L3085="1111",TH!M3085="1111")),TH!D3085,""),"")</f>
        <v/>
      </c>
      <c r="B3085" s="896">
        <f t="shared" si="162"/>
        <v>5</v>
      </c>
      <c r="C3085" s="897">
        <f t="shared" si="163"/>
        <v>42507</v>
      </c>
      <c r="D3085" s="897" t="s">
        <v>1580</v>
      </c>
      <c r="E3085" s="869">
        <v>42507</v>
      </c>
      <c r="F3085" s="967" t="s">
        <v>691</v>
      </c>
      <c r="G3085" s="871" t="s">
        <v>586</v>
      </c>
      <c r="H3085" s="965" t="s">
        <v>1328</v>
      </c>
      <c r="I3085" s="254">
        <v>511</v>
      </c>
      <c r="J3085" s="254">
        <v>5284.9028442698454</v>
      </c>
      <c r="K3085" s="51">
        <f t="shared" si="164"/>
        <v>2700585</v>
      </c>
      <c r="L3085" s="966" t="s">
        <v>172</v>
      </c>
      <c r="M3085" s="966" t="s">
        <v>167</v>
      </c>
      <c r="N3085" s="52" t="str">
        <f>IF(AND('331-CT'!$E$7=TH!H3085,OR(L3085="331",M3085="331")),"331",IF(AND(OR(L3085="131",M3085="131"),H3085='131-CT'!$E$7),"131",""))</f>
        <v/>
      </c>
      <c r="O3085" s="857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65"/>
    </row>
    <row r="3086" spans="1:28" s="900" customFormat="1" ht="15.75" customHeight="1">
      <c r="A3086" s="895" t="str">
        <f>IF(B3086&lt;&gt;"",IF(AND(B3086&gt;=_TM1,B3086&lt;=_TM2,OR(TH!L3086="1111",TH!M3086="1111")),TH!D3086,""),"")</f>
        <v/>
      </c>
      <c r="B3086" s="896">
        <f t="shared" si="162"/>
        <v>5</v>
      </c>
      <c r="C3086" s="897">
        <f t="shared" si="163"/>
        <v>42507</v>
      </c>
      <c r="D3086" s="897" t="s">
        <v>1580</v>
      </c>
      <c r="E3086" s="869">
        <v>42507</v>
      </c>
      <c r="F3086" s="967" t="s">
        <v>692</v>
      </c>
      <c r="G3086" s="871" t="s">
        <v>586</v>
      </c>
      <c r="H3086" s="965" t="s">
        <v>1328</v>
      </c>
      <c r="I3086" s="254">
        <v>503</v>
      </c>
      <c r="J3086" s="254">
        <v>6222.5468972854633</v>
      </c>
      <c r="K3086" s="51">
        <f t="shared" si="164"/>
        <v>3129941</v>
      </c>
      <c r="L3086" s="966" t="s">
        <v>172</v>
      </c>
      <c r="M3086" s="966" t="s">
        <v>167</v>
      </c>
      <c r="N3086" s="52" t="str">
        <f>IF(AND('331-CT'!$E$7=TH!H3086,OR(L3086="331",M3086="331")),"331",IF(AND(OR(L3086="131",M3086="131"),H3086='131-CT'!$E$7),"131",""))</f>
        <v/>
      </c>
      <c r="O3086" s="857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65"/>
    </row>
    <row r="3087" spans="1:28" s="900" customFormat="1" ht="15.75" customHeight="1">
      <c r="A3087" s="895" t="str">
        <f>IF(B3087&lt;&gt;"",IF(AND(B3087&gt;=_TM1,B3087&lt;=_TM2,OR(TH!L3087="1111",TH!M3087="1111")),TH!D3087,""),"")</f>
        <v/>
      </c>
      <c r="B3087" s="896">
        <f t="shared" si="162"/>
        <v>5</v>
      </c>
      <c r="C3087" s="897">
        <f t="shared" si="163"/>
        <v>42507</v>
      </c>
      <c r="D3087" s="897" t="s">
        <v>1580</v>
      </c>
      <c r="E3087" s="869">
        <v>42507</v>
      </c>
      <c r="F3087" s="967" t="s">
        <v>1060</v>
      </c>
      <c r="G3087" s="871" t="s">
        <v>586</v>
      </c>
      <c r="H3087" s="965" t="s">
        <v>1328</v>
      </c>
      <c r="I3087" s="254">
        <v>960</v>
      </c>
      <c r="J3087" s="254">
        <v>4773.460633534055</v>
      </c>
      <c r="K3087" s="51">
        <f t="shared" si="164"/>
        <v>4582522</v>
      </c>
      <c r="L3087" s="966" t="s">
        <v>172</v>
      </c>
      <c r="M3087" s="966" t="s">
        <v>167</v>
      </c>
      <c r="N3087" s="52" t="str">
        <f>IF(AND('331-CT'!$E$7=TH!H3087,OR(L3087="331",M3087="331")),"331",IF(AND(OR(L3087="131",M3087="131"),H3087='131-CT'!$E$7),"131",""))</f>
        <v/>
      </c>
      <c r="O3087" s="857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65"/>
    </row>
    <row r="3088" spans="1:28" s="900" customFormat="1" ht="15.75" customHeight="1">
      <c r="A3088" s="895" t="str">
        <f>IF(B3088&lt;&gt;"",IF(AND(B3088&gt;=_TM1,B3088&lt;=_TM2,OR(TH!L3088="1111",TH!M3088="1111")),TH!D3088,""),"")</f>
        <v/>
      </c>
      <c r="B3088" s="896">
        <f t="shared" si="162"/>
        <v>5</v>
      </c>
      <c r="C3088" s="897">
        <f t="shared" si="163"/>
        <v>42507</v>
      </c>
      <c r="D3088" s="897" t="s">
        <v>1580</v>
      </c>
      <c r="E3088" s="869">
        <v>42507</v>
      </c>
      <c r="F3088" s="967" t="s">
        <v>998</v>
      </c>
      <c r="G3088" s="871" t="s">
        <v>588</v>
      </c>
      <c r="H3088" s="965" t="s">
        <v>1328</v>
      </c>
      <c r="I3088" s="254">
        <v>530</v>
      </c>
      <c r="J3088" s="254">
        <v>6222.5468972854633</v>
      </c>
      <c r="K3088" s="51">
        <f t="shared" si="164"/>
        <v>3297950</v>
      </c>
      <c r="L3088" s="966" t="s">
        <v>172</v>
      </c>
      <c r="M3088" s="966" t="s">
        <v>167</v>
      </c>
      <c r="N3088" s="52" t="str">
        <f>IF(AND('331-CT'!$E$7=TH!H3088,OR(L3088="331",M3088="331")),"331",IF(AND(OR(L3088="131",M3088="131"),H3088='131-CT'!$E$7),"131",""))</f>
        <v/>
      </c>
      <c r="O3088" s="857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65"/>
    </row>
    <row r="3089" spans="1:28" s="900" customFormat="1" ht="15.75" customHeight="1">
      <c r="A3089" s="895" t="str">
        <f>IF(B3089&lt;&gt;"",IF(AND(B3089&gt;=_TM1,B3089&lt;=_TM2,OR(TH!L3089="1111",TH!M3089="1111")),TH!D3089,""),"")</f>
        <v/>
      </c>
      <c r="B3089" s="896">
        <f t="shared" si="162"/>
        <v>5</v>
      </c>
      <c r="C3089" s="897">
        <f t="shared" si="163"/>
        <v>42508</v>
      </c>
      <c r="D3089" s="897" t="s">
        <v>1580</v>
      </c>
      <c r="E3089" s="869">
        <v>42508</v>
      </c>
      <c r="F3089" s="967" t="s">
        <v>466</v>
      </c>
      <c r="G3089" s="871" t="s">
        <v>592</v>
      </c>
      <c r="H3089" s="965" t="s">
        <v>1328</v>
      </c>
      <c r="I3089" s="254">
        <v>517</v>
      </c>
      <c r="J3089" s="254">
        <v>5796.3450550056377</v>
      </c>
      <c r="K3089" s="51">
        <f t="shared" si="164"/>
        <v>2996710</v>
      </c>
      <c r="L3089" s="966" t="s">
        <v>172</v>
      </c>
      <c r="M3089" s="966" t="s">
        <v>167</v>
      </c>
      <c r="N3089" s="52" t="str">
        <f>IF(AND('331-CT'!$E$7=TH!H3089,OR(L3089="331",M3089="331")),"331",IF(AND(OR(L3089="131",M3089="131"),H3089='131-CT'!$E$7),"131",""))</f>
        <v/>
      </c>
      <c r="O3089" s="857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65"/>
    </row>
    <row r="3090" spans="1:28" s="900" customFormat="1" ht="15.75" customHeight="1">
      <c r="A3090" s="895" t="str">
        <f>IF(B3090&lt;&gt;"",IF(AND(B3090&gt;=_TM1,B3090&lt;=_TM2,OR(TH!L3090="1111",TH!M3090="1111")),TH!D3090,""),"")</f>
        <v/>
      </c>
      <c r="B3090" s="896">
        <f t="shared" si="162"/>
        <v>5</v>
      </c>
      <c r="C3090" s="897">
        <f t="shared" si="163"/>
        <v>42508</v>
      </c>
      <c r="D3090" s="897" t="s">
        <v>1580</v>
      </c>
      <c r="E3090" s="869">
        <v>42508</v>
      </c>
      <c r="F3090" s="967" t="s">
        <v>438</v>
      </c>
      <c r="G3090" s="871" t="s">
        <v>593</v>
      </c>
      <c r="H3090" s="965" t="s">
        <v>1328</v>
      </c>
      <c r="I3090" s="254">
        <v>65</v>
      </c>
      <c r="J3090" s="254">
        <v>11251.728636187414</v>
      </c>
      <c r="K3090" s="51">
        <f t="shared" si="164"/>
        <v>731362</v>
      </c>
      <c r="L3090" s="966" t="s">
        <v>172</v>
      </c>
      <c r="M3090" s="966" t="s">
        <v>167</v>
      </c>
      <c r="N3090" s="52" t="str">
        <f>IF(AND('331-CT'!$E$7=TH!H3090,OR(L3090="331",M3090="331")),"331",IF(AND(OR(L3090="131",M3090="131"),H3090='131-CT'!$E$7),"131",""))</f>
        <v/>
      </c>
      <c r="O3090" s="857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65"/>
    </row>
    <row r="3091" spans="1:28" s="900" customFormat="1" ht="15.75" customHeight="1">
      <c r="A3091" s="895" t="str">
        <f>IF(B3091&lt;&gt;"",IF(AND(B3091&gt;=_TM1,B3091&lt;=_TM2,OR(TH!L3091="1111",TH!M3091="1111")),TH!D3091,""),"")</f>
        <v/>
      </c>
      <c r="B3091" s="896">
        <f t="shared" si="162"/>
        <v>5</v>
      </c>
      <c r="C3091" s="897">
        <f t="shared" si="163"/>
        <v>42508</v>
      </c>
      <c r="D3091" s="897" t="s">
        <v>1580</v>
      </c>
      <c r="E3091" s="869">
        <v>42508</v>
      </c>
      <c r="F3091" s="967" t="s">
        <v>503</v>
      </c>
      <c r="G3091" s="871" t="s">
        <v>593</v>
      </c>
      <c r="H3091" s="965" t="s">
        <v>1328</v>
      </c>
      <c r="I3091" s="254">
        <v>88</v>
      </c>
      <c r="J3091" s="254">
        <v>8438.7964771405605</v>
      </c>
      <c r="K3091" s="51">
        <f t="shared" si="164"/>
        <v>742614</v>
      </c>
      <c r="L3091" s="966" t="s">
        <v>172</v>
      </c>
      <c r="M3091" s="966" t="s">
        <v>167</v>
      </c>
      <c r="N3091" s="52" t="str">
        <f>IF(AND('331-CT'!$E$7=TH!H3091,OR(L3091="331",M3091="331")),"331",IF(AND(OR(L3091="131",M3091="131"),H3091='131-CT'!$E$7),"131",""))</f>
        <v/>
      </c>
      <c r="O3091" s="857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65"/>
    </row>
    <row r="3092" spans="1:28" s="900" customFormat="1" ht="15.75" customHeight="1">
      <c r="A3092" s="895" t="str">
        <f>IF(B3092&lt;&gt;"",IF(AND(B3092&gt;=_TM1,B3092&lt;=_TM2,OR(TH!L3092="1111",TH!M3092="1111")),TH!D3092,""),"")</f>
        <v/>
      </c>
      <c r="B3092" s="896">
        <f t="shared" si="162"/>
        <v>5</v>
      </c>
      <c r="C3092" s="897">
        <f t="shared" si="163"/>
        <v>42508</v>
      </c>
      <c r="D3092" s="897" t="s">
        <v>1580</v>
      </c>
      <c r="E3092" s="869">
        <v>42508</v>
      </c>
      <c r="F3092" s="967" t="s">
        <v>510</v>
      </c>
      <c r="G3092" s="871" t="s">
        <v>593</v>
      </c>
      <c r="H3092" s="965" t="s">
        <v>1328</v>
      </c>
      <c r="I3092" s="254">
        <v>340</v>
      </c>
      <c r="J3092" s="254">
        <v>10825.526793907587</v>
      </c>
      <c r="K3092" s="51">
        <f t="shared" si="164"/>
        <v>3680679</v>
      </c>
      <c r="L3092" s="966" t="s">
        <v>172</v>
      </c>
      <c r="M3092" s="966" t="s">
        <v>167</v>
      </c>
      <c r="N3092" s="52" t="str">
        <f>IF(AND('331-CT'!$E$7=TH!H3092,OR(L3092="331",M3092="331")),"331",IF(AND(OR(L3092="131",M3092="131"),H3092='131-CT'!$E$7),"131",""))</f>
        <v/>
      </c>
      <c r="O3092" s="857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65"/>
    </row>
    <row r="3093" spans="1:28" s="900" customFormat="1" ht="15.75" customHeight="1">
      <c r="A3093" s="895" t="str">
        <f>IF(B3093&lt;&gt;"",IF(AND(B3093&gt;=_TM1,B3093&lt;=_TM2,OR(TH!L3093="1111",TH!M3093="1111")),TH!D3093,""),"")</f>
        <v/>
      </c>
      <c r="B3093" s="896">
        <f t="shared" si="162"/>
        <v>5</v>
      </c>
      <c r="C3093" s="897">
        <f t="shared" si="163"/>
        <v>42508</v>
      </c>
      <c r="D3093" s="897" t="s">
        <v>1580</v>
      </c>
      <c r="E3093" s="869">
        <v>42508</v>
      </c>
      <c r="F3093" s="967" t="s">
        <v>971</v>
      </c>
      <c r="G3093" s="871" t="s">
        <v>593</v>
      </c>
      <c r="H3093" s="965" t="s">
        <v>1328</v>
      </c>
      <c r="I3093" s="254">
        <v>220</v>
      </c>
      <c r="J3093" s="254">
        <v>9035.4790563323168</v>
      </c>
      <c r="K3093" s="51">
        <f t="shared" si="164"/>
        <v>1987805</v>
      </c>
      <c r="L3093" s="966" t="s">
        <v>172</v>
      </c>
      <c r="M3093" s="966" t="s">
        <v>167</v>
      </c>
      <c r="N3093" s="52" t="str">
        <f>IF(AND('331-CT'!$E$7=TH!H3093,OR(L3093="331",M3093="331")),"331",IF(AND(OR(L3093="131",M3093="131"),H3093='131-CT'!$E$7),"131",""))</f>
        <v/>
      </c>
      <c r="O3093" s="857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65"/>
    </row>
    <row r="3094" spans="1:28" s="900" customFormat="1" ht="15.75" customHeight="1">
      <c r="A3094" s="895" t="str">
        <f>IF(B3094&lt;&gt;"",IF(AND(B3094&gt;=_TM1,B3094&lt;=_TM2,OR(TH!L3094="1111",TH!M3094="1111")),TH!D3094,""),"")</f>
        <v/>
      </c>
      <c r="B3094" s="896">
        <f t="shared" si="162"/>
        <v>5</v>
      </c>
      <c r="C3094" s="897">
        <f t="shared" si="163"/>
        <v>42508</v>
      </c>
      <c r="D3094" s="897" t="s">
        <v>1580</v>
      </c>
      <c r="E3094" s="869">
        <v>42508</v>
      </c>
      <c r="F3094" s="967" t="s">
        <v>510</v>
      </c>
      <c r="G3094" s="871" t="s">
        <v>593</v>
      </c>
      <c r="H3094" s="965" t="s">
        <v>1328</v>
      </c>
      <c r="I3094" s="254">
        <v>212</v>
      </c>
      <c r="J3094" s="254">
        <v>10825.526793907587</v>
      </c>
      <c r="K3094" s="51">
        <f t="shared" si="164"/>
        <v>2295012</v>
      </c>
      <c r="L3094" s="966" t="s">
        <v>172</v>
      </c>
      <c r="M3094" s="966" t="s">
        <v>167</v>
      </c>
      <c r="N3094" s="52" t="str">
        <f>IF(AND('331-CT'!$E$7=TH!H3094,OR(L3094="331",M3094="331")),"331",IF(AND(OR(L3094="131",M3094="131"),H3094='131-CT'!$E$7),"131",""))</f>
        <v/>
      </c>
      <c r="O3094" s="857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65"/>
    </row>
    <row r="3095" spans="1:28" s="900" customFormat="1" ht="15.75" customHeight="1">
      <c r="A3095" s="895" t="str">
        <f>IF(B3095&lt;&gt;"",IF(AND(B3095&gt;=_TM1,B3095&lt;=_TM2,OR(TH!L3095="1111",TH!M3095="1111")),TH!D3095,""),"")</f>
        <v/>
      </c>
      <c r="B3095" s="896">
        <f t="shared" si="162"/>
        <v>5</v>
      </c>
      <c r="C3095" s="897">
        <f t="shared" si="163"/>
        <v>42513</v>
      </c>
      <c r="D3095" s="897" t="s">
        <v>1580</v>
      </c>
      <c r="E3095" s="869">
        <v>42513</v>
      </c>
      <c r="F3095" s="967" t="s">
        <v>1061</v>
      </c>
      <c r="G3095" s="871" t="s">
        <v>594</v>
      </c>
      <c r="H3095" s="965" t="s">
        <v>1328</v>
      </c>
      <c r="I3095" s="254">
        <v>20</v>
      </c>
      <c r="J3095" s="254">
        <v>22673.938009286758</v>
      </c>
      <c r="K3095" s="51">
        <f t="shared" si="164"/>
        <v>453479</v>
      </c>
      <c r="L3095" s="966" t="s">
        <v>172</v>
      </c>
      <c r="M3095" s="966" t="s">
        <v>167</v>
      </c>
      <c r="N3095" s="52" t="str">
        <f>IF(AND('331-CT'!$E$7=TH!H3095,OR(L3095="331",M3095="331")),"331",IF(AND(OR(L3095="131",M3095="131"),H3095='131-CT'!$E$7),"131",""))</f>
        <v/>
      </c>
      <c r="O3095" s="857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65"/>
    </row>
    <row r="3096" spans="1:28" s="900" customFormat="1" ht="15.75" customHeight="1">
      <c r="A3096" s="895" t="str">
        <f>IF(B3096&lt;&gt;"",IF(AND(B3096&gt;=_TM1,B3096&lt;=_TM2,OR(TH!L3096="1111",TH!M3096="1111")),TH!D3096,""),"")</f>
        <v/>
      </c>
      <c r="B3096" s="896">
        <f t="shared" si="162"/>
        <v>5</v>
      </c>
      <c r="C3096" s="897">
        <f t="shared" si="163"/>
        <v>42513</v>
      </c>
      <c r="D3096" s="897" t="s">
        <v>1580</v>
      </c>
      <c r="E3096" s="869">
        <v>42513</v>
      </c>
      <c r="F3096" s="967" t="s">
        <v>1062</v>
      </c>
      <c r="G3096" s="871" t="s">
        <v>594</v>
      </c>
      <c r="H3096" s="965" t="s">
        <v>1328</v>
      </c>
      <c r="I3096" s="254">
        <v>20</v>
      </c>
      <c r="J3096" s="254">
        <v>20287.207692519729</v>
      </c>
      <c r="K3096" s="51">
        <f t="shared" si="164"/>
        <v>405744</v>
      </c>
      <c r="L3096" s="966" t="s">
        <v>172</v>
      </c>
      <c r="M3096" s="966" t="s">
        <v>167</v>
      </c>
      <c r="N3096" s="52" t="str">
        <f>IF(AND('331-CT'!$E$7=TH!H3096,OR(L3096="331",M3096="331")),"331",IF(AND(OR(L3096="131",M3096="131"),H3096='131-CT'!$E$7),"131",""))</f>
        <v/>
      </c>
      <c r="O3096" s="857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65"/>
    </row>
    <row r="3097" spans="1:28" s="900" customFormat="1" ht="15.75" customHeight="1">
      <c r="A3097" s="895" t="str">
        <f>IF(B3097&lt;&gt;"",IF(AND(B3097&gt;=_TM1,B3097&lt;=_TM2,OR(TH!L3097="1111",TH!M3097="1111")),TH!D3097,""),"")</f>
        <v/>
      </c>
      <c r="B3097" s="896">
        <f t="shared" si="162"/>
        <v>5</v>
      </c>
      <c r="C3097" s="897">
        <f t="shared" si="163"/>
        <v>42513</v>
      </c>
      <c r="D3097" s="897" t="s">
        <v>1580</v>
      </c>
      <c r="E3097" s="869">
        <v>42513</v>
      </c>
      <c r="F3097" s="967" t="s">
        <v>1063</v>
      </c>
      <c r="G3097" s="871" t="s">
        <v>594</v>
      </c>
      <c r="H3097" s="965" t="s">
        <v>1328</v>
      </c>
      <c r="I3097" s="254">
        <v>60</v>
      </c>
      <c r="J3097" s="254">
        <v>26594.994958261159</v>
      </c>
      <c r="K3097" s="51">
        <f t="shared" si="164"/>
        <v>1595700</v>
      </c>
      <c r="L3097" s="966" t="s">
        <v>172</v>
      </c>
      <c r="M3097" s="966" t="s">
        <v>167</v>
      </c>
      <c r="N3097" s="52" t="str">
        <f>IF(AND('331-CT'!$E$7=TH!H3097,OR(L3097="331",M3097="331")),"331",IF(AND(OR(L3097="131",M3097="131"),H3097='131-CT'!$E$7),"131",""))</f>
        <v/>
      </c>
      <c r="O3097" s="857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65"/>
    </row>
    <row r="3098" spans="1:28" s="900" customFormat="1" ht="15.75" customHeight="1">
      <c r="A3098" s="895" t="str">
        <f>IF(B3098&lt;&gt;"",IF(AND(B3098&gt;=_TM1,B3098&lt;=_TM2,OR(TH!L3098="1111",TH!M3098="1111")),TH!D3098,""),"")</f>
        <v/>
      </c>
      <c r="B3098" s="896">
        <f t="shared" si="162"/>
        <v>5</v>
      </c>
      <c r="C3098" s="897">
        <f t="shared" si="163"/>
        <v>42513</v>
      </c>
      <c r="D3098" s="897" t="s">
        <v>1580</v>
      </c>
      <c r="E3098" s="869">
        <v>42513</v>
      </c>
      <c r="F3098" s="967" t="s">
        <v>1064</v>
      </c>
      <c r="G3098" s="871" t="s">
        <v>594</v>
      </c>
      <c r="H3098" s="965" t="s">
        <v>1328</v>
      </c>
      <c r="I3098" s="254">
        <v>20</v>
      </c>
      <c r="J3098" s="254">
        <v>17985.717744208669</v>
      </c>
      <c r="K3098" s="51">
        <f t="shared" si="164"/>
        <v>359714</v>
      </c>
      <c r="L3098" s="966" t="s">
        <v>172</v>
      </c>
      <c r="M3098" s="966" t="s">
        <v>167</v>
      </c>
      <c r="N3098" s="52" t="str">
        <f>IF(AND('331-CT'!$E$7=TH!H3098,OR(L3098="331",M3098="331")),"331",IF(AND(OR(L3098="131",M3098="131"),H3098='131-CT'!$E$7),"131",""))</f>
        <v/>
      </c>
      <c r="O3098" s="857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65"/>
    </row>
    <row r="3099" spans="1:28" s="900" customFormat="1" ht="15.75" customHeight="1">
      <c r="A3099" s="895" t="str">
        <f>IF(B3099&lt;&gt;"",IF(AND(B3099&gt;=_TM1,B3099&lt;=_TM2,OR(TH!L3099="1111",TH!M3099="1111")),TH!D3099,""),"")</f>
        <v/>
      </c>
      <c r="B3099" s="896">
        <f t="shared" si="162"/>
        <v>5</v>
      </c>
      <c r="C3099" s="897">
        <f t="shared" si="163"/>
        <v>42513</v>
      </c>
      <c r="D3099" s="897" t="s">
        <v>1580</v>
      </c>
      <c r="E3099" s="869">
        <v>42513</v>
      </c>
      <c r="F3099" s="967" t="s">
        <v>1065</v>
      </c>
      <c r="G3099" s="871" t="s">
        <v>594</v>
      </c>
      <c r="H3099" s="965" t="s">
        <v>1328</v>
      </c>
      <c r="I3099" s="254">
        <v>20</v>
      </c>
      <c r="J3099" s="254">
        <v>19434.804007960076</v>
      </c>
      <c r="K3099" s="51">
        <f t="shared" si="164"/>
        <v>388696</v>
      </c>
      <c r="L3099" s="966" t="s">
        <v>172</v>
      </c>
      <c r="M3099" s="966" t="s">
        <v>167</v>
      </c>
      <c r="N3099" s="52" t="str">
        <f>IF(AND('331-CT'!$E$7=TH!H3099,OR(L3099="331",M3099="331")),"331",IF(AND(OR(L3099="131",M3099="131"),H3099='131-CT'!$E$7),"131",""))</f>
        <v/>
      </c>
      <c r="O3099" s="857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65"/>
    </row>
    <row r="3100" spans="1:28" s="900" customFormat="1" ht="15.75" customHeight="1">
      <c r="A3100" s="895" t="str">
        <f>IF(B3100&lt;&gt;"",IF(AND(B3100&gt;=_TM1,B3100&lt;=_TM2,OR(TH!L3100="1111",TH!M3100="1111")),TH!D3100,""),"")</f>
        <v/>
      </c>
      <c r="B3100" s="896">
        <f t="shared" si="162"/>
        <v>5</v>
      </c>
      <c r="C3100" s="897">
        <f t="shared" si="163"/>
        <v>42513</v>
      </c>
      <c r="D3100" s="897" t="s">
        <v>1580</v>
      </c>
      <c r="E3100" s="869">
        <v>42513</v>
      </c>
      <c r="F3100" s="967" t="s">
        <v>1066</v>
      </c>
      <c r="G3100" s="871" t="s">
        <v>594</v>
      </c>
      <c r="H3100" s="965" t="s">
        <v>1328</v>
      </c>
      <c r="I3100" s="254">
        <v>22</v>
      </c>
      <c r="J3100" s="254">
        <v>21480.572850903245</v>
      </c>
      <c r="K3100" s="51">
        <f t="shared" si="164"/>
        <v>472573</v>
      </c>
      <c r="L3100" s="966" t="s">
        <v>172</v>
      </c>
      <c r="M3100" s="966" t="s">
        <v>167</v>
      </c>
      <c r="N3100" s="52" t="str">
        <f>IF(AND('331-CT'!$E$7=TH!H3100,OR(L3100="331",M3100="331")),"331",IF(AND(OR(L3100="131",M3100="131"),H3100='131-CT'!$E$7),"131",""))</f>
        <v/>
      </c>
      <c r="O3100" s="857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65"/>
    </row>
    <row r="3101" spans="1:28" s="900" customFormat="1" ht="15.75" customHeight="1">
      <c r="A3101" s="895" t="str">
        <f>IF(B3101&lt;&gt;"",IF(AND(B3101&gt;=_TM1,B3101&lt;=_TM2,OR(TH!L3101="1111",TH!M3101="1111")),TH!D3101,""),"")</f>
        <v/>
      </c>
      <c r="B3101" s="896">
        <f t="shared" si="162"/>
        <v>5</v>
      </c>
      <c r="C3101" s="897">
        <f t="shared" si="163"/>
        <v>42513</v>
      </c>
      <c r="D3101" s="897" t="s">
        <v>1580</v>
      </c>
      <c r="E3101" s="869">
        <v>42513</v>
      </c>
      <c r="F3101" s="967" t="s">
        <v>1067</v>
      </c>
      <c r="G3101" s="871" t="s">
        <v>594</v>
      </c>
      <c r="H3101" s="965" t="s">
        <v>1328</v>
      </c>
      <c r="I3101" s="254">
        <v>24</v>
      </c>
      <c r="J3101" s="254">
        <v>13212.257110674615</v>
      </c>
      <c r="K3101" s="51">
        <f t="shared" si="164"/>
        <v>317094</v>
      </c>
      <c r="L3101" s="966" t="s">
        <v>172</v>
      </c>
      <c r="M3101" s="966" t="s">
        <v>167</v>
      </c>
      <c r="N3101" s="52" t="str">
        <f>IF(AND('331-CT'!$E$7=TH!H3101,OR(L3101="331",M3101="331")),"331",IF(AND(OR(L3101="131",M3101="131"),H3101='131-CT'!$E$7),"131",""))</f>
        <v/>
      </c>
      <c r="O3101" s="857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65"/>
    </row>
    <row r="3102" spans="1:28" s="900" customFormat="1" ht="15.75" customHeight="1">
      <c r="A3102" s="895" t="str">
        <f>IF(B3102&lt;&gt;"",IF(AND(B3102&gt;=_TM1,B3102&lt;=_TM2,OR(TH!L3102="1111",TH!M3102="1111")),TH!D3102,""),"")</f>
        <v/>
      </c>
      <c r="B3102" s="896">
        <f t="shared" si="162"/>
        <v>5</v>
      </c>
      <c r="C3102" s="897">
        <f t="shared" si="163"/>
        <v>42513</v>
      </c>
      <c r="D3102" s="897" t="s">
        <v>1580</v>
      </c>
      <c r="E3102" s="869">
        <v>42513</v>
      </c>
      <c r="F3102" s="967" t="s">
        <v>1068</v>
      </c>
      <c r="G3102" s="871" t="s">
        <v>594</v>
      </c>
      <c r="H3102" s="965" t="s">
        <v>1328</v>
      </c>
      <c r="I3102" s="254">
        <v>24</v>
      </c>
      <c r="J3102" s="254">
        <v>12359.853426114962</v>
      </c>
      <c r="K3102" s="51">
        <f t="shared" si="164"/>
        <v>296636</v>
      </c>
      <c r="L3102" s="966" t="s">
        <v>172</v>
      </c>
      <c r="M3102" s="966" t="s">
        <v>167</v>
      </c>
      <c r="N3102" s="52" t="str">
        <f>IF(AND('331-CT'!$E$7=TH!H3102,OR(L3102="331",M3102="331")),"331",IF(AND(OR(L3102="131",M3102="131"),H3102='131-CT'!$E$7),"131",""))</f>
        <v/>
      </c>
      <c r="O3102" s="857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65"/>
    </row>
    <row r="3103" spans="1:28" s="900" customFormat="1" ht="15.75" customHeight="1">
      <c r="A3103" s="895" t="str">
        <f>IF(B3103&lt;&gt;"",IF(AND(B3103&gt;=_TM1,B3103&lt;=_TM2,OR(TH!L3103="1111",TH!M3103="1111")),TH!D3103,""),"")</f>
        <v/>
      </c>
      <c r="B3103" s="896">
        <f t="shared" si="162"/>
        <v>5</v>
      </c>
      <c r="C3103" s="897">
        <f t="shared" si="163"/>
        <v>42513</v>
      </c>
      <c r="D3103" s="897" t="s">
        <v>1580</v>
      </c>
      <c r="E3103" s="869">
        <v>42513</v>
      </c>
      <c r="F3103" s="967" t="s">
        <v>1069</v>
      </c>
      <c r="G3103" s="871" t="s">
        <v>594</v>
      </c>
      <c r="H3103" s="965" t="s">
        <v>1328</v>
      </c>
      <c r="I3103" s="254">
        <v>26</v>
      </c>
      <c r="J3103" s="254">
        <v>14917.06447979392</v>
      </c>
      <c r="K3103" s="51">
        <f t="shared" si="164"/>
        <v>387844</v>
      </c>
      <c r="L3103" s="966" t="s">
        <v>172</v>
      </c>
      <c r="M3103" s="966" t="s">
        <v>167</v>
      </c>
      <c r="N3103" s="52" t="str">
        <f>IF(AND('331-CT'!$E$7=TH!H3103,OR(L3103="331",M3103="331")),"331",IF(AND(OR(L3103="131",M3103="131"),H3103='131-CT'!$E$7),"131",""))</f>
        <v/>
      </c>
      <c r="O3103" s="857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65"/>
    </row>
    <row r="3104" spans="1:28" s="900" customFormat="1" ht="15.75" customHeight="1">
      <c r="A3104" s="895" t="str">
        <f>IF(B3104&lt;&gt;"",IF(AND(B3104&gt;=_TM1,B3104&lt;=_TM2,OR(TH!L3104="1111",TH!M3104="1111")),TH!D3104,""),"")</f>
        <v/>
      </c>
      <c r="B3104" s="896">
        <f t="shared" si="162"/>
        <v>5</v>
      </c>
      <c r="C3104" s="897">
        <f t="shared" si="163"/>
        <v>42513</v>
      </c>
      <c r="D3104" s="897" t="s">
        <v>1580</v>
      </c>
      <c r="E3104" s="869">
        <v>42513</v>
      </c>
      <c r="F3104" s="967" t="s">
        <v>640</v>
      </c>
      <c r="G3104" s="871" t="s">
        <v>596</v>
      </c>
      <c r="H3104" s="965" t="s">
        <v>1328</v>
      </c>
      <c r="I3104" s="254">
        <v>158</v>
      </c>
      <c r="J3104" s="254">
        <v>27447.398642820812</v>
      </c>
      <c r="K3104" s="51">
        <f t="shared" si="164"/>
        <v>4336689</v>
      </c>
      <c r="L3104" s="966" t="s">
        <v>172</v>
      </c>
      <c r="M3104" s="966" t="s">
        <v>167</v>
      </c>
      <c r="N3104" s="52" t="str">
        <f>IF(AND('331-CT'!$E$7=TH!H3104,OR(L3104="331",M3104="331")),"331",IF(AND(OR(L3104="131",M3104="131"),H3104='131-CT'!$E$7),"131",""))</f>
        <v/>
      </c>
      <c r="O3104" s="857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65"/>
    </row>
    <row r="3105" spans="1:28" s="900" customFormat="1" ht="15.75" customHeight="1">
      <c r="A3105" s="895" t="str">
        <f>IF(B3105&lt;&gt;"",IF(AND(B3105&gt;=_TM1,B3105&lt;=_TM2,OR(TH!L3105="1111",TH!M3105="1111")),TH!D3105,""),"")</f>
        <v/>
      </c>
      <c r="B3105" s="896">
        <f t="shared" si="162"/>
        <v>5</v>
      </c>
      <c r="C3105" s="897">
        <f t="shared" si="163"/>
        <v>42515</v>
      </c>
      <c r="D3105" s="897" t="s">
        <v>1580</v>
      </c>
      <c r="E3105" s="869">
        <v>42515</v>
      </c>
      <c r="F3105" s="967" t="s">
        <v>1474</v>
      </c>
      <c r="G3105" s="871" t="s">
        <v>1070</v>
      </c>
      <c r="H3105" s="965" t="s">
        <v>1328</v>
      </c>
      <c r="I3105" s="254">
        <v>505</v>
      </c>
      <c r="J3105" s="254">
        <v>8097.8350033166989</v>
      </c>
      <c r="K3105" s="51">
        <f t="shared" si="164"/>
        <v>4089407</v>
      </c>
      <c r="L3105" s="966" t="s">
        <v>172</v>
      </c>
      <c r="M3105" s="966" t="s">
        <v>167</v>
      </c>
      <c r="N3105" s="52" t="str">
        <f>IF(AND('331-CT'!$E$7=TH!H3105,OR(L3105="331",M3105="331")),"331",IF(AND(OR(L3105="131",M3105="131"),H3105='131-CT'!$E$7),"131",""))</f>
        <v/>
      </c>
      <c r="O3105" s="857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65"/>
    </row>
    <row r="3106" spans="1:28" s="900" customFormat="1" ht="15.75" customHeight="1">
      <c r="A3106" s="895" t="str">
        <f>IF(B3106&lt;&gt;"",IF(AND(B3106&gt;=_TM1,B3106&lt;=_TM2,OR(TH!L3106="1111",TH!M3106="1111")),TH!D3106,""),"")</f>
        <v/>
      </c>
      <c r="B3106" s="896">
        <f t="shared" si="162"/>
        <v>5</v>
      </c>
      <c r="C3106" s="897">
        <f t="shared" si="163"/>
        <v>42517</v>
      </c>
      <c r="D3106" s="897" t="s">
        <v>1580</v>
      </c>
      <c r="E3106" s="869">
        <v>42517</v>
      </c>
      <c r="F3106" s="967" t="s">
        <v>466</v>
      </c>
      <c r="G3106" s="871" t="s">
        <v>597</v>
      </c>
      <c r="H3106" s="965" t="s">
        <v>1328</v>
      </c>
      <c r="I3106" s="254">
        <v>1021</v>
      </c>
      <c r="J3106" s="254">
        <v>5796.3450550056377</v>
      </c>
      <c r="K3106" s="51">
        <f t="shared" si="164"/>
        <v>5918068</v>
      </c>
      <c r="L3106" s="966" t="s">
        <v>172</v>
      </c>
      <c r="M3106" s="966" t="s">
        <v>167</v>
      </c>
      <c r="N3106" s="52" t="str">
        <f>IF(AND('331-CT'!$E$7=TH!H3106,OR(L3106="331",M3106="331")),"331",IF(AND(OR(L3106="131",M3106="131"),H3106='131-CT'!$E$7),"131",""))</f>
        <v/>
      </c>
      <c r="O3106" s="857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65"/>
    </row>
    <row r="3107" spans="1:28" s="900" customFormat="1" ht="15.75" customHeight="1">
      <c r="A3107" s="895" t="str">
        <f>IF(B3107&lt;&gt;"",IF(AND(B3107&gt;=_TM1,B3107&lt;=_TM2,OR(TH!L3107="1111",TH!M3107="1111")),TH!D3107,""),"")</f>
        <v/>
      </c>
      <c r="B3107" s="896">
        <f t="shared" si="162"/>
        <v>5</v>
      </c>
      <c r="C3107" s="897">
        <f t="shared" si="163"/>
        <v>42517</v>
      </c>
      <c r="D3107" s="897" t="s">
        <v>1580</v>
      </c>
      <c r="E3107" s="869">
        <v>42517</v>
      </c>
      <c r="F3107" s="967" t="s">
        <v>448</v>
      </c>
      <c r="G3107" s="871" t="s">
        <v>598</v>
      </c>
      <c r="H3107" s="965" t="s">
        <v>1328</v>
      </c>
      <c r="I3107" s="254">
        <v>246</v>
      </c>
      <c r="J3107" s="254">
        <v>61799.267130574808</v>
      </c>
      <c r="K3107" s="51">
        <f t="shared" si="164"/>
        <v>15202620</v>
      </c>
      <c r="L3107" s="966" t="s">
        <v>172</v>
      </c>
      <c r="M3107" s="966" t="s">
        <v>167</v>
      </c>
      <c r="N3107" s="52" t="str">
        <f>IF(AND('331-CT'!$E$7=TH!H3107,OR(L3107="331",M3107="331")),"331",IF(AND(OR(L3107="131",M3107="131"),H3107='131-CT'!$E$7),"131",""))</f>
        <v/>
      </c>
      <c r="O3107" s="857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65"/>
    </row>
    <row r="3108" spans="1:28" s="900" customFormat="1" ht="15.75" customHeight="1">
      <c r="A3108" s="895" t="str">
        <f>IF(B3108&lt;&gt;"",IF(AND(B3108&gt;=_TM1,B3108&lt;=_TM2,OR(TH!L3108="1111",TH!M3108="1111")),TH!D3108,""),"")</f>
        <v/>
      </c>
      <c r="B3108" s="896">
        <f t="shared" si="162"/>
        <v>5</v>
      </c>
      <c r="C3108" s="897">
        <f t="shared" si="163"/>
        <v>42517</v>
      </c>
      <c r="D3108" s="897" t="s">
        <v>1580</v>
      </c>
      <c r="E3108" s="869">
        <v>42517</v>
      </c>
      <c r="F3108" s="967" t="s">
        <v>943</v>
      </c>
      <c r="G3108" s="871" t="s">
        <v>598</v>
      </c>
      <c r="H3108" s="965" t="s">
        <v>1328</v>
      </c>
      <c r="I3108" s="254">
        <v>60</v>
      </c>
      <c r="J3108" s="254">
        <v>64441.718552709732</v>
      </c>
      <c r="K3108" s="51">
        <f t="shared" si="164"/>
        <v>3866503</v>
      </c>
      <c r="L3108" s="966" t="s">
        <v>172</v>
      </c>
      <c r="M3108" s="966" t="s">
        <v>167</v>
      </c>
      <c r="N3108" s="52" t="str">
        <f>IF(AND('331-CT'!$E$7=TH!H3108,OR(L3108="331",M3108="331")),"331",IF(AND(OR(L3108="131",M3108="131"),H3108='131-CT'!$E$7),"131",""))</f>
        <v/>
      </c>
      <c r="O3108" s="857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65"/>
    </row>
    <row r="3109" spans="1:28" s="900" customFormat="1" ht="15.75" customHeight="1">
      <c r="A3109" s="895" t="str">
        <f>IF(B3109&lt;&gt;"",IF(AND(B3109&gt;=_TM1,B3109&lt;=_TM2,OR(TH!L3109="1111",TH!M3109="1111")),TH!D3109,""),"")</f>
        <v/>
      </c>
      <c r="B3109" s="896">
        <f t="shared" si="162"/>
        <v>5</v>
      </c>
      <c r="C3109" s="897">
        <f t="shared" si="163"/>
        <v>42518</v>
      </c>
      <c r="D3109" s="897" t="s">
        <v>1580</v>
      </c>
      <c r="E3109" s="869">
        <v>42518</v>
      </c>
      <c r="F3109" s="967" t="s">
        <v>507</v>
      </c>
      <c r="G3109" s="871" t="s">
        <v>600</v>
      </c>
      <c r="H3109" s="965" t="s">
        <v>1328</v>
      </c>
      <c r="I3109" s="254">
        <v>106</v>
      </c>
      <c r="J3109" s="254">
        <v>7927.3542664047691</v>
      </c>
      <c r="K3109" s="51">
        <f t="shared" si="164"/>
        <v>840300</v>
      </c>
      <c r="L3109" s="966" t="s">
        <v>172</v>
      </c>
      <c r="M3109" s="966" t="s">
        <v>167</v>
      </c>
      <c r="N3109" s="52" t="str">
        <f>IF(AND('331-CT'!$E$7=TH!H3109,OR(L3109="331",M3109="331")),"331",IF(AND(OR(L3109="131",M3109="131"),H3109='131-CT'!$E$7),"131",""))</f>
        <v/>
      </c>
      <c r="O3109" s="857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65"/>
    </row>
    <row r="3110" spans="1:28" s="900" customFormat="1" ht="15.75" customHeight="1">
      <c r="A3110" s="895" t="str">
        <f>IF(B3110&lt;&gt;"",IF(AND(B3110&gt;=_TM1,B3110&lt;=_TM2,OR(TH!L3110="1111",TH!M3110="1111")),TH!D3110,""),"")</f>
        <v/>
      </c>
      <c r="B3110" s="896">
        <f t="shared" si="162"/>
        <v>5</v>
      </c>
      <c r="C3110" s="897">
        <f t="shared" si="163"/>
        <v>42518</v>
      </c>
      <c r="D3110" s="897" t="s">
        <v>1580</v>
      </c>
      <c r="E3110" s="869">
        <v>42518</v>
      </c>
      <c r="F3110" s="967" t="s">
        <v>445</v>
      </c>
      <c r="G3110" s="871" t="s">
        <v>600</v>
      </c>
      <c r="H3110" s="965" t="s">
        <v>1328</v>
      </c>
      <c r="I3110" s="254">
        <v>207</v>
      </c>
      <c r="J3110" s="254">
        <v>11422.209373099344</v>
      </c>
      <c r="K3110" s="51">
        <f t="shared" si="164"/>
        <v>2364397</v>
      </c>
      <c r="L3110" s="966" t="s">
        <v>172</v>
      </c>
      <c r="M3110" s="966" t="s">
        <v>167</v>
      </c>
      <c r="N3110" s="52" t="str">
        <f>IF(AND('331-CT'!$E$7=TH!H3110,OR(L3110="331",M3110="331")),"331",IF(AND(OR(L3110="131",M3110="131"),H3110='131-CT'!$E$7),"131",""))</f>
        <v/>
      </c>
      <c r="O3110" s="857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65"/>
    </row>
    <row r="3111" spans="1:28" s="900" customFormat="1" ht="15.75" customHeight="1">
      <c r="A3111" s="895" t="str">
        <f>IF(B3111&lt;&gt;"",IF(AND(B3111&gt;=_TM1,B3111&lt;=_TM2,OR(TH!L3111="1111",TH!M3111="1111")),TH!D3111,""),"")</f>
        <v/>
      </c>
      <c r="B3111" s="896">
        <f t="shared" si="162"/>
        <v>5</v>
      </c>
      <c r="C3111" s="897">
        <f t="shared" si="163"/>
        <v>42519</v>
      </c>
      <c r="D3111" s="897" t="s">
        <v>1580</v>
      </c>
      <c r="E3111" s="869">
        <v>42519</v>
      </c>
      <c r="F3111" s="967" t="s">
        <v>448</v>
      </c>
      <c r="G3111" s="871" t="s">
        <v>599</v>
      </c>
      <c r="H3111" s="965" t="s">
        <v>1328</v>
      </c>
      <c r="I3111" s="254">
        <v>150</v>
      </c>
      <c r="J3111" s="254">
        <v>61799.267130574808</v>
      </c>
      <c r="K3111" s="51">
        <f t="shared" si="164"/>
        <v>9269890</v>
      </c>
      <c r="L3111" s="966" t="s">
        <v>172</v>
      </c>
      <c r="M3111" s="966" t="s">
        <v>167</v>
      </c>
      <c r="N3111" s="52" t="str">
        <f>IF(AND('331-CT'!$E$7=TH!H3111,OR(L3111="331",M3111="331")),"331",IF(AND(OR(L3111="131",M3111="131"),H3111='131-CT'!$E$7),"131",""))</f>
        <v/>
      </c>
      <c r="O3111" s="857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65"/>
    </row>
    <row r="3112" spans="1:28" s="900" customFormat="1" ht="15.75" customHeight="1">
      <c r="A3112" s="895" t="str">
        <f>IF(B3112&lt;&gt;"",IF(AND(B3112&gt;=_TM1,B3112&lt;=_TM2,OR(TH!L3112="1111",TH!M3112="1111")),TH!D3112,""),"")</f>
        <v/>
      </c>
      <c r="B3112" s="896">
        <f t="shared" si="162"/>
        <v>5</v>
      </c>
      <c r="C3112" s="897">
        <f t="shared" si="163"/>
        <v>42520</v>
      </c>
      <c r="D3112" s="897" t="s">
        <v>1580</v>
      </c>
      <c r="E3112" s="869">
        <v>42520</v>
      </c>
      <c r="F3112" s="967" t="s">
        <v>1071</v>
      </c>
      <c r="G3112" s="871" t="s">
        <v>602</v>
      </c>
      <c r="H3112" s="965" t="s">
        <v>1328</v>
      </c>
      <c r="I3112" s="254">
        <v>306</v>
      </c>
      <c r="J3112" s="254">
        <v>7160.1909503010811</v>
      </c>
      <c r="K3112" s="51">
        <f t="shared" si="164"/>
        <v>2191018</v>
      </c>
      <c r="L3112" s="966" t="s">
        <v>172</v>
      </c>
      <c r="M3112" s="966" t="s">
        <v>167</v>
      </c>
      <c r="N3112" s="52" t="str">
        <f>IF(AND('331-CT'!$E$7=TH!H3112,OR(L3112="331",M3112="331")),"331",IF(AND(OR(L3112="131",M3112="131"),H3112='131-CT'!$E$7),"131",""))</f>
        <v/>
      </c>
      <c r="O3112" s="857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65"/>
    </row>
    <row r="3113" spans="1:28" s="900" customFormat="1" ht="15.75" customHeight="1">
      <c r="A3113" s="895" t="str">
        <f>IF(B3113&lt;&gt;"",IF(AND(B3113&gt;=_TM1,B3113&lt;=_TM2,OR(TH!L3113="1111",TH!M3113="1111")),TH!D3113,""),"")</f>
        <v/>
      </c>
      <c r="B3113" s="896">
        <f t="shared" si="162"/>
        <v>5</v>
      </c>
      <c r="C3113" s="897">
        <f t="shared" si="163"/>
        <v>42520</v>
      </c>
      <c r="D3113" s="897" t="s">
        <v>1580</v>
      </c>
      <c r="E3113" s="869">
        <v>42520</v>
      </c>
      <c r="F3113" s="967" t="s">
        <v>1072</v>
      </c>
      <c r="G3113" s="871" t="s">
        <v>602</v>
      </c>
      <c r="H3113" s="965" t="s">
        <v>1328</v>
      </c>
      <c r="I3113" s="254">
        <v>403</v>
      </c>
      <c r="J3113" s="254">
        <v>6137.3065288294983</v>
      </c>
      <c r="K3113" s="51">
        <f t="shared" si="164"/>
        <v>2473335</v>
      </c>
      <c r="L3113" s="966" t="s">
        <v>172</v>
      </c>
      <c r="M3113" s="966" t="s">
        <v>167</v>
      </c>
      <c r="N3113" s="52" t="str">
        <f>IF(AND('331-CT'!$E$7=TH!H3113,OR(L3113="331",M3113="331")),"331",IF(AND(OR(L3113="131",M3113="131"),H3113='131-CT'!$E$7),"131",""))</f>
        <v/>
      </c>
      <c r="O3113" s="857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65"/>
    </row>
    <row r="3114" spans="1:28" s="900" customFormat="1" ht="15.75" customHeight="1">
      <c r="A3114" s="895" t="str">
        <f>IF(B3114&lt;&gt;"",IF(AND(B3114&gt;=_TM1,B3114&lt;=_TM2,OR(TH!L3114="1111",TH!M3114="1111")),TH!D3114,""),"")</f>
        <v/>
      </c>
      <c r="B3114" s="896">
        <f t="shared" si="162"/>
        <v>5</v>
      </c>
      <c r="C3114" s="897">
        <f t="shared" si="163"/>
        <v>42520</v>
      </c>
      <c r="D3114" s="897" t="s">
        <v>1580</v>
      </c>
      <c r="E3114" s="869">
        <v>42520</v>
      </c>
      <c r="F3114" s="967" t="s">
        <v>1073</v>
      </c>
      <c r="G3114" s="871" t="s">
        <v>602</v>
      </c>
      <c r="H3114" s="965" t="s">
        <v>1328</v>
      </c>
      <c r="I3114" s="254">
        <v>307</v>
      </c>
      <c r="J3114" s="254">
        <v>11677.93047846724</v>
      </c>
      <c r="K3114" s="51">
        <f t="shared" si="164"/>
        <v>3585125</v>
      </c>
      <c r="L3114" s="966" t="s">
        <v>172</v>
      </c>
      <c r="M3114" s="966" t="s">
        <v>167</v>
      </c>
      <c r="N3114" s="52" t="str">
        <f>IF(AND('331-CT'!$E$7=TH!H3114,OR(L3114="331",M3114="331")),"331",IF(AND(OR(L3114="131",M3114="131"),H3114='131-CT'!$E$7),"131",""))</f>
        <v/>
      </c>
      <c r="O3114" s="857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65"/>
    </row>
    <row r="3115" spans="1:28" s="900" customFormat="1" ht="15.75" customHeight="1">
      <c r="A3115" s="895" t="str">
        <f>IF(B3115&lt;&gt;"",IF(AND(B3115&gt;=_TM1,B3115&lt;=_TM2,OR(TH!L3115="1111",TH!M3115="1111")),TH!D3115,""),"")</f>
        <v/>
      </c>
      <c r="B3115" s="896">
        <f t="shared" si="162"/>
        <v>6</v>
      </c>
      <c r="C3115" s="897">
        <f t="shared" si="163"/>
        <v>42522</v>
      </c>
      <c r="D3115" s="897" t="s">
        <v>1580</v>
      </c>
      <c r="E3115" s="869">
        <v>42522</v>
      </c>
      <c r="F3115" s="967" t="s">
        <v>419</v>
      </c>
      <c r="G3115" s="871" t="s">
        <v>603</v>
      </c>
      <c r="H3115" s="965" t="s">
        <v>1328</v>
      </c>
      <c r="I3115" s="254">
        <v>1600</v>
      </c>
      <c r="J3115" s="254">
        <v>6989.7102133891503</v>
      </c>
      <c r="K3115" s="51">
        <f t="shared" si="164"/>
        <v>11183536</v>
      </c>
      <c r="L3115" s="966" t="s">
        <v>172</v>
      </c>
      <c r="M3115" s="966" t="s">
        <v>167</v>
      </c>
      <c r="N3115" s="52" t="str">
        <f>IF(AND('331-CT'!$E$7=TH!H3115,OR(L3115="331",M3115="331")),"331",IF(AND(OR(L3115="131",M3115="131"),H3115='131-CT'!$E$7),"131",""))</f>
        <v/>
      </c>
      <c r="O3115" s="857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65"/>
    </row>
    <row r="3116" spans="1:28" s="900" customFormat="1" ht="15.75" customHeight="1">
      <c r="A3116" s="895" t="str">
        <f>IF(B3116&lt;&gt;"",IF(AND(B3116&gt;=_TM1,B3116&lt;=_TM2,OR(TH!L3116="1111",TH!M3116="1111")),TH!D3116,""),"")</f>
        <v/>
      </c>
      <c r="B3116" s="896">
        <f t="shared" si="162"/>
        <v>6</v>
      </c>
      <c r="C3116" s="897">
        <f t="shared" si="163"/>
        <v>42522</v>
      </c>
      <c r="D3116" s="897" t="s">
        <v>1580</v>
      </c>
      <c r="E3116" s="869">
        <v>42522</v>
      </c>
      <c r="F3116" s="967" t="s">
        <v>471</v>
      </c>
      <c r="G3116" s="871" t="s">
        <v>603</v>
      </c>
      <c r="H3116" s="965" t="s">
        <v>1328</v>
      </c>
      <c r="I3116" s="254">
        <v>750</v>
      </c>
      <c r="J3116" s="254">
        <v>13467.978216042511</v>
      </c>
      <c r="K3116" s="51">
        <f t="shared" si="164"/>
        <v>10100984</v>
      </c>
      <c r="L3116" s="966" t="s">
        <v>172</v>
      </c>
      <c r="M3116" s="966" t="s">
        <v>167</v>
      </c>
      <c r="N3116" s="52" t="str">
        <f>IF(AND('331-CT'!$E$7=TH!H3116,OR(L3116="331",M3116="331")),"331",IF(AND(OR(L3116="131",M3116="131"),H3116='131-CT'!$E$7),"131",""))</f>
        <v/>
      </c>
      <c r="O3116" s="857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65"/>
    </row>
    <row r="3117" spans="1:28" s="900" customFormat="1" ht="15.75" customHeight="1">
      <c r="A3117" s="895" t="str">
        <f>IF(B3117&lt;&gt;"",IF(AND(B3117&gt;=_TM1,B3117&lt;=_TM2,OR(TH!L3117="1111",TH!M3117="1111")),TH!D3117,""),"")</f>
        <v/>
      </c>
      <c r="B3117" s="896">
        <f t="shared" si="162"/>
        <v>6</v>
      </c>
      <c r="C3117" s="897">
        <f t="shared" si="163"/>
        <v>42522</v>
      </c>
      <c r="D3117" s="897" t="s">
        <v>1580</v>
      </c>
      <c r="E3117" s="869">
        <v>42522</v>
      </c>
      <c r="F3117" s="967" t="s">
        <v>448</v>
      </c>
      <c r="G3117" s="871" t="s">
        <v>604</v>
      </c>
      <c r="H3117" s="965" t="s">
        <v>1328</v>
      </c>
      <c r="I3117" s="254">
        <v>170</v>
      </c>
      <c r="J3117" s="254">
        <v>61799.267130574808</v>
      </c>
      <c r="K3117" s="51">
        <f t="shared" si="164"/>
        <v>10505875</v>
      </c>
      <c r="L3117" s="966" t="s">
        <v>172</v>
      </c>
      <c r="M3117" s="966" t="s">
        <v>167</v>
      </c>
      <c r="N3117" s="52" t="str">
        <f>IF(AND('331-CT'!$E$7=TH!H3117,OR(L3117="331",M3117="331")),"331",IF(AND(OR(L3117="131",M3117="131"),H3117='131-CT'!$E$7),"131",""))</f>
        <v/>
      </c>
      <c r="O3117" s="857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65"/>
    </row>
    <row r="3118" spans="1:28" s="900" customFormat="1" ht="15.75" customHeight="1">
      <c r="A3118" s="895" t="str">
        <f>IF(B3118&lt;&gt;"",IF(AND(B3118&gt;=_TM1,B3118&lt;=_TM2,OR(TH!L3118="1111",TH!M3118="1111")),TH!D3118,""),"")</f>
        <v/>
      </c>
      <c r="B3118" s="896">
        <f t="shared" si="162"/>
        <v>6</v>
      </c>
      <c r="C3118" s="897">
        <f t="shared" si="163"/>
        <v>42522</v>
      </c>
      <c r="D3118" s="897" t="s">
        <v>1580</v>
      </c>
      <c r="E3118" s="869">
        <v>42522</v>
      </c>
      <c r="F3118" s="967" t="s">
        <v>964</v>
      </c>
      <c r="G3118" s="871" t="s">
        <v>605</v>
      </c>
      <c r="H3118" s="965" t="s">
        <v>1328</v>
      </c>
      <c r="I3118" s="254">
        <v>245</v>
      </c>
      <c r="J3118" s="254">
        <v>12018.8919522911</v>
      </c>
      <c r="K3118" s="51">
        <f t="shared" si="164"/>
        <v>2944629</v>
      </c>
      <c r="L3118" s="966" t="s">
        <v>172</v>
      </c>
      <c r="M3118" s="966" t="s">
        <v>167</v>
      </c>
      <c r="N3118" s="52" t="str">
        <f>IF(AND('331-CT'!$E$7=TH!H3118,OR(L3118="331",M3118="331")),"331",IF(AND(OR(L3118="131",M3118="131"),H3118='131-CT'!$E$7),"131",""))</f>
        <v/>
      </c>
      <c r="O3118" s="857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65"/>
    </row>
    <row r="3119" spans="1:28" s="900" customFormat="1" ht="15.75" customHeight="1">
      <c r="A3119" s="895" t="str">
        <f>IF(B3119&lt;&gt;"",IF(AND(B3119&gt;=_TM1,B3119&lt;=_TM2,OR(TH!L3119="1111",TH!M3119="1111")),TH!D3119,""),"")</f>
        <v/>
      </c>
      <c r="B3119" s="896">
        <f t="shared" si="162"/>
        <v>6</v>
      </c>
      <c r="C3119" s="897">
        <f t="shared" si="163"/>
        <v>42522</v>
      </c>
      <c r="D3119" s="897" t="s">
        <v>1580</v>
      </c>
      <c r="E3119" s="869">
        <v>42522</v>
      </c>
      <c r="F3119" s="967" t="s">
        <v>437</v>
      </c>
      <c r="G3119" s="871" t="s">
        <v>605</v>
      </c>
      <c r="H3119" s="965" t="s">
        <v>1328</v>
      </c>
      <c r="I3119" s="254">
        <v>35</v>
      </c>
      <c r="J3119" s="254">
        <v>9035.4790563323168</v>
      </c>
      <c r="K3119" s="51">
        <f t="shared" si="164"/>
        <v>316242</v>
      </c>
      <c r="L3119" s="966" t="s">
        <v>172</v>
      </c>
      <c r="M3119" s="966" t="s">
        <v>167</v>
      </c>
      <c r="N3119" s="52" t="str">
        <f>IF(AND('331-CT'!$E$7=TH!H3119,OR(L3119="331",M3119="331")),"331",IF(AND(OR(L3119="131",M3119="131"),H3119='131-CT'!$E$7),"131",""))</f>
        <v/>
      </c>
      <c r="O3119" s="857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65"/>
    </row>
    <row r="3120" spans="1:28" s="900" customFormat="1" ht="15.75" customHeight="1">
      <c r="A3120" s="895" t="str">
        <f>IF(B3120&lt;&gt;"",IF(AND(B3120&gt;=_TM1,B3120&lt;=_TM2,OR(TH!L3120="1111",TH!M3120="1111")),TH!D3120,""),"")</f>
        <v/>
      </c>
      <c r="B3120" s="896">
        <f t="shared" si="162"/>
        <v>6</v>
      </c>
      <c r="C3120" s="897">
        <f t="shared" si="163"/>
        <v>42522</v>
      </c>
      <c r="D3120" s="897" t="s">
        <v>1580</v>
      </c>
      <c r="E3120" s="869">
        <v>42522</v>
      </c>
      <c r="F3120" s="967" t="s">
        <v>1075</v>
      </c>
      <c r="G3120" s="871" t="s">
        <v>605</v>
      </c>
      <c r="H3120" s="965" t="s">
        <v>1328</v>
      </c>
      <c r="I3120" s="254">
        <v>24</v>
      </c>
      <c r="J3120" s="254">
        <v>10484.565320083726</v>
      </c>
      <c r="K3120" s="51">
        <f t="shared" si="164"/>
        <v>251630</v>
      </c>
      <c r="L3120" s="966" t="s">
        <v>172</v>
      </c>
      <c r="M3120" s="966" t="s">
        <v>167</v>
      </c>
      <c r="N3120" s="52" t="str">
        <f>IF(AND('331-CT'!$E$7=TH!H3120,OR(L3120="331",M3120="331")),"331",IF(AND(OR(L3120="131",M3120="131"),H3120='131-CT'!$E$7),"131",""))</f>
        <v/>
      </c>
      <c r="O3120" s="857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65"/>
    </row>
    <row r="3121" spans="1:28" s="900" customFormat="1" ht="15.75" customHeight="1">
      <c r="A3121" s="895" t="str">
        <f>IF(B3121&lt;&gt;"",IF(AND(B3121&gt;=_TM1,B3121&lt;=_TM2,OR(TH!L3121="1111",TH!M3121="1111")),TH!D3121,""),"")</f>
        <v/>
      </c>
      <c r="B3121" s="896">
        <f t="shared" si="162"/>
        <v>6</v>
      </c>
      <c r="C3121" s="897">
        <f t="shared" si="163"/>
        <v>42522</v>
      </c>
      <c r="D3121" s="897" t="s">
        <v>1580</v>
      </c>
      <c r="E3121" s="869">
        <v>42522</v>
      </c>
      <c r="F3121" s="967" t="s">
        <v>964</v>
      </c>
      <c r="G3121" s="871" t="s">
        <v>605</v>
      </c>
      <c r="H3121" s="965" t="s">
        <v>1328</v>
      </c>
      <c r="I3121" s="254">
        <v>13</v>
      </c>
      <c r="J3121" s="254">
        <v>12018.8919522911</v>
      </c>
      <c r="K3121" s="51">
        <f t="shared" si="164"/>
        <v>156246</v>
      </c>
      <c r="L3121" s="966" t="s">
        <v>172</v>
      </c>
      <c r="M3121" s="966" t="s">
        <v>167</v>
      </c>
      <c r="N3121" s="52" t="str">
        <f>IF(AND('331-CT'!$E$7=TH!H3121,OR(L3121="331",M3121="331")),"331",IF(AND(OR(L3121="131",M3121="131"),H3121='131-CT'!$E$7),"131",""))</f>
        <v/>
      </c>
      <c r="O3121" s="857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65"/>
    </row>
    <row r="3122" spans="1:28" s="900" customFormat="1" ht="15.75" customHeight="1">
      <c r="A3122" s="895" t="str">
        <f>IF(B3122&lt;&gt;"",IF(AND(B3122&gt;=_TM1,B3122&lt;=_TM2,OR(TH!L3122="1111",TH!M3122="1111")),TH!D3122,""),"")</f>
        <v/>
      </c>
      <c r="B3122" s="896">
        <f t="shared" si="162"/>
        <v>6</v>
      </c>
      <c r="C3122" s="897">
        <f t="shared" si="163"/>
        <v>42522</v>
      </c>
      <c r="D3122" s="897" t="s">
        <v>1580</v>
      </c>
      <c r="E3122" s="869">
        <v>42522</v>
      </c>
      <c r="F3122" s="967" t="s">
        <v>1076</v>
      </c>
      <c r="G3122" s="871" t="s">
        <v>605</v>
      </c>
      <c r="H3122" s="965" t="s">
        <v>1328</v>
      </c>
      <c r="I3122" s="254">
        <v>90</v>
      </c>
      <c r="J3122" s="254">
        <v>10569.805688539691</v>
      </c>
      <c r="K3122" s="51">
        <f t="shared" si="164"/>
        <v>951283</v>
      </c>
      <c r="L3122" s="966" t="s">
        <v>172</v>
      </c>
      <c r="M3122" s="966" t="s">
        <v>167</v>
      </c>
      <c r="N3122" s="52" t="str">
        <f>IF(AND('331-CT'!$E$7=TH!H3122,OR(L3122="331",M3122="331")),"331",IF(AND(OR(L3122="131",M3122="131"),H3122='131-CT'!$E$7),"131",""))</f>
        <v/>
      </c>
      <c r="O3122" s="857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65"/>
    </row>
    <row r="3123" spans="1:28" s="900" customFormat="1" ht="15.75" customHeight="1">
      <c r="A3123" s="895" t="str">
        <f>IF(B3123&lt;&gt;"",IF(AND(B3123&gt;=_TM1,B3123&lt;=_TM2,OR(TH!L3123="1111",TH!M3123="1111")),TH!D3123,""),"")</f>
        <v/>
      </c>
      <c r="B3123" s="896">
        <f t="shared" si="162"/>
        <v>6</v>
      </c>
      <c r="C3123" s="897">
        <f t="shared" si="163"/>
        <v>42522</v>
      </c>
      <c r="D3123" s="897" t="s">
        <v>1580</v>
      </c>
      <c r="E3123" s="869">
        <v>42522</v>
      </c>
      <c r="F3123" s="967" t="s">
        <v>1077</v>
      </c>
      <c r="G3123" s="871" t="s">
        <v>605</v>
      </c>
      <c r="H3123" s="965" t="s">
        <v>1328</v>
      </c>
      <c r="I3123" s="254">
        <v>24</v>
      </c>
      <c r="J3123" s="254">
        <v>6989.7102133891503</v>
      </c>
      <c r="K3123" s="51">
        <f t="shared" si="164"/>
        <v>167753</v>
      </c>
      <c r="L3123" s="966" t="s">
        <v>172</v>
      </c>
      <c r="M3123" s="966" t="s">
        <v>167</v>
      </c>
      <c r="N3123" s="52" t="str">
        <f>IF(AND('331-CT'!$E$7=TH!H3123,OR(L3123="331",M3123="331")),"331",IF(AND(OR(L3123="131",M3123="131"),H3123='131-CT'!$E$7),"131",""))</f>
        <v/>
      </c>
      <c r="O3123" s="857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65"/>
    </row>
    <row r="3124" spans="1:28" s="900" customFormat="1" ht="15.75" customHeight="1">
      <c r="A3124" s="895" t="str">
        <f>IF(B3124&lt;&gt;"",IF(AND(B3124&gt;=_TM1,B3124&lt;=_TM2,OR(TH!L3124="1111",TH!M3124="1111")),TH!D3124,""),"")</f>
        <v/>
      </c>
      <c r="B3124" s="896">
        <f t="shared" si="162"/>
        <v>6</v>
      </c>
      <c r="C3124" s="897">
        <f t="shared" si="163"/>
        <v>42522</v>
      </c>
      <c r="D3124" s="897" t="s">
        <v>1580</v>
      </c>
      <c r="E3124" s="869">
        <v>42522</v>
      </c>
      <c r="F3124" s="967" t="s">
        <v>1078</v>
      </c>
      <c r="G3124" s="871" t="s">
        <v>605</v>
      </c>
      <c r="H3124" s="965" t="s">
        <v>1328</v>
      </c>
      <c r="I3124" s="254">
        <v>90</v>
      </c>
      <c r="J3124" s="254">
        <v>11848.41121537917</v>
      </c>
      <c r="K3124" s="51">
        <f t="shared" si="164"/>
        <v>1066357</v>
      </c>
      <c r="L3124" s="966" t="s">
        <v>172</v>
      </c>
      <c r="M3124" s="966" t="s">
        <v>167</v>
      </c>
      <c r="N3124" s="52" t="str">
        <f>IF(AND('331-CT'!$E$7=TH!H3124,OR(L3124="331",M3124="331")),"331",IF(AND(OR(L3124="131",M3124="131"),H3124='131-CT'!$E$7),"131",""))</f>
        <v/>
      </c>
      <c r="O3124" s="857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65"/>
    </row>
    <row r="3125" spans="1:28" s="900" customFormat="1" ht="15.75" customHeight="1">
      <c r="A3125" s="895" t="str">
        <f>IF(B3125&lt;&gt;"",IF(AND(B3125&gt;=_TM1,B3125&lt;=_TM2,OR(TH!L3125="1111",TH!M3125="1111")),TH!D3125,""),"")</f>
        <v/>
      </c>
      <c r="B3125" s="896">
        <f t="shared" si="162"/>
        <v>6</v>
      </c>
      <c r="C3125" s="897">
        <f t="shared" si="163"/>
        <v>42522</v>
      </c>
      <c r="D3125" s="897" t="s">
        <v>1580</v>
      </c>
      <c r="E3125" s="869">
        <v>42522</v>
      </c>
      <c r="F3125" s="967" t="s">
        <v>1079</v>
      </c>
      <c r="G3125" s="871" t="s">
        <v>605</v>
      </c>
      <c r="H3125" s="965" t="s">
        <v>1328</v>
      </c>
      <c r="I3125" s="254">
        <v>55</v>
      </c>
      <c r="J3125" s="254">
        <v>9973.1231093479346</v>
      </c>
      <c r="K3125" s="51">
        <f t="shared" si="164"/>
        <v>548522</v>
      </c>
      <c r="L3125" s="966" t="s">
        <v>172</v>
      </c>
      <c r="M3125" s="966" t="s">
        <v>167</v>
      </c>
      <c r="N3125" s="52" t="str">
        <f>IF(AND('331-CT'!$E$7=TH!H3125,OR(L3125="331",M3125="331")),"331",IF(AND(OR(L3125="131",M3125="131"),H3125='131-CT'!$E$7),"131",""))</f>
        <v/>
      </c>
      <c r="O3125" s="857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65"/>
    </row>
    <row r="3126" spans="1:28" s="900" customFormat="1" ht="15.75" customHeight="1">
      <c r="A3126" s="895" t="str">
        <f>IF(B3126&lt;&gt;"",IF(AND(B3126&gt;=_TM1,B3126&lt;=_TM2,OR(TH!L3126="1111",TH!M3126="1111")),TH!D3126,""),"")</f>
        <v/>
      </c>
      <c r="B3126" s="896">
        <f t="shared" si="162"/>
        <v>6</v>
      </c>
      <c r="C3126" s="897">
        <f t="shared" si="163"/>
        <v>42522</v>
      </c>
      <c r="D3126" s="897" t="s">
        <v>1580</v>
      </c>
      <c r="E3126" s="869">
        <v>42522</v>
      </c>
      <c r="F3126" s="967" t="s">
        <v>1080</v>
      </c>
      <c r="G3126" s="871" t="s">
        <v>605</v>
      </c>
      <c r="H3126" s="965" t="s">
        <v>1328</v>
      </c>
      <c r="I3126" s="254">
        <v>210</v>
      </c>
      <c r="J3126" s="254">
        <v>13723.699321410406</v>
      </c>
      <c r="K3126" s="51">
        <f t="shared" si="164"/>
        <v>2881977</v>
      </c>
      <c r="L3126" s="966" t="s">
        <v>172</v>
      </c>
      <c r="M3126" s="966" t="s">
        <v>167</v>
      </c>
      <c r="N3126" s="52" t="str">
        <f>IF(AND('331-CT'!$E$7=TH!H3126,OR(L3126="331",M3126="331")),"331",IF(AND(OR(L3126="131",M3126="131"),H3126='131-CT'!$E$7),"131",""))</f>
        <v/>
      </c>
      <c r="O3126" s="857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65"/>
    </row>
    <row r="3127" spans="1:28" s="900" customFormat="1" ht="15.75" customHeight="1">
      <c r="A3127" s="895" t="str">
        <f>IF(B3127&lt;&gt;"",IF(AND(B3127&gt;=_TM1,B3127&lt;=_TM2,OR(TH!L3127="1111",TH!M3127="1111")),TH!D3127,""),"")</f>
        <v/>
      </c>
      <c r="B3127" s="896">
        <f t="shared" si="162"/>
        <v>6</v>
      </c>
      <c r="C3127" s="897">
        <f t="shared" si="163"/>
        <v>42522</v>
      </c>
      <c r="D3127" s="897" t="s">
        <v>1580</v>
      </c>
      <c r="E3127" s="869">
        <v>42522</v>
      </c>
      <c r="F3127" s="967" t="s">
        <v>1081</v>
      </c>
      <c r="G3127" s="871" t="s">
        <v>606</v>
      </c>
      <c r="H3127" s="965" t="s">
        <v>1328</v>
      </c>
      <c r="I3127" s="254">
        <v>210</v>
      </c>
      <c r="J3127" s="254">
        <v>9376.4405301561783</v>
      </c>
      <c r="K3127" s="51">
        <f t="shared" si="164"/>
        <v>1969053</v>
      </c>
      <c r="L3127" s="966" t="s">
        <v>172</v>
      </c>
      <c r="M3127" s="966" t="s">
        <v>167</v>
      </c>
      <c r="N3127" s="52" t="str">
        <f>IF(AND('331-CT'!$E$7=TH!H3127,OR(L3127="331",M3127="331")),"331",IF(AND(OR(L3127="131",M3127="131"),H3127='131-CT'!$E$7),"131",""))</f>
        <v/>
      </c>
      <c r="O3127" s="857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65"/>
    </row>
    <row r="3128" spans="1:28" s="900" customFormat="1" ht="15.75" customHeight="1">
      <c r="A3128" s="895" t="str">
        <f>IF(B3128&lt;&gt;"",IF(AND(B3128&gt;=_TM1,B3128&lt;=_TM2,OR(TH!L3128="1111",TH!M3128="1111")),TH!D3128,""),"")</f>
        <v/>
      </c>
      <c r="B3128" s="896">
        <f t="shared" si="162"/>
        <v>6</v>
      </c>
      <c r="C3128" s="897">
        <f t="shared" si="163"/>
        <v>42522</v>
      </c>
      <c r="D3128" s="897" t="s">
        <v>1580</v>
      </c>
      <c r="E3128" s="869">
        <v>42522</v>
      </c>
      <c r="F3128" s="967" t="s">
        <v>504</v>
      </c>
      <c r="G3128" s="871" t="s">
        <v>606</v>
      </c>
      <c r="H3128" s="965" t="s">
        <v>1328</v>
      </c>
      <c r="I3128" s="254">
        <v>204</v>
      </c>
      <c r="J3128" s="254">
        <v>10910.767162363552</v>
      </c>
      <c r="K3128" s="51">
        <f t="shared" si="164"/>
        <v>2225797</v>
      </c>
      <c r="L3128" s="966" t="s">
        <v>172</v>
      </c>
      <c r="M3128" s="966" t="s">
        <v>167</v>
      </c>
      <c r="N3128" s="52" t="str">
        <f>IF(AND('331-CT'!$E$7=TH!H3128,OR(L3128="331",M3128="331")),"331",IF(AND(OR(L3128="131",M3128="131"),H3128='131-CT'!$E$7),"131",""))</f>
        <v/>
      </c>
      <c r="O3128" s="857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65"/>
    </row>
    <row r="3129" spans="1:28" s="900" customFormat="1" ht="15.75" customHeight="1">
      <c r="A3129" s="895" t="str">
        <f>IF(B3129&lt;&gt;"",IF(AND(B3129&gt;=_TM1,B3129&lt;=_TM2,OR(TH!L3129="1111",TH!M3129="1111")),TH!D3129,""),"")</f>
        <v/>
      </c>
      <c r="B3129" s="896">
        <f t="shared" si="162"/>
        <v>6</v>
      </c>
      <c r="C3129" s="897">
        <f t="shared" si="163"/>
        <v>42522</v>
      </c>
      <c r="D3129" s="897" t="s">
        <v>1580</v>
      </c>
      <c r="E3129" s="869">
        <v>42522</v>
      </c>
      <c r="F3129" s="967" t="s">
        <v>468</v>
      </c>
      <c r="G3129" s="871" t="s">
        <v>607</v>
      </c>
      <c r="H3129" s="965" t="s">
        <v>1328</v>
      </c>
      <c r="I3129" s="254">
        <v>220</v>
      </c>
      <c r="J3129" s="254">
        <v>5966.8257919175676</v>
      </c>
      <c r="K3129" s="51">
        <f t="shared" si="164"/>
        <v>1312702</v>
      </c>
      <c r="L3129" s="966" t="s">
        <v>172</v>
      </c>
      <c r="M3129" s="966" t="s">
        <v>167</v>
      </c>
      <c r="N3129" s="52" t="str">
        <f>IF(AND('331-CT'!$E$7=TH!H3129,OR(L3129="331",M3129="331")),"331",IF(AND(OR(L3129="131",M3129="131"),H3129='131-CT'!$E$7),"131",""))</f>
        <v/>
      </c>
      <c r="O3129" s="857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65"/>
    </row>
    <row r="3130" spans="1:28" s="900" customFormat="1" ht="15.75" customHeight="1">
      <c r="A3130" s="895" t="str">
        <f>IF(B3130&lt;&gt;"",IF(AND(B3130&gt;=_TM1,B3130&lt;=_TM2,OR(TH!L3130="1111",TH!M3130="1111")),TH!D3130,""),"")</f>
        <v/>
      </c>
      <c r="B3130" s="896">
        <f t="shared" ref="B3130:B3193" si="165">IF(C3130&lt;&gt;"",MONTH(C3130),"")</f>
        <v>6</v>
      </c>
      <c r="C3130" s="897">
        <f t="shared" si="163"/>
        <v>42527</v>
      </c>
      <c r="D3130" s="897" t="s">
        <v>1580</v>
      </c>
      <c r="E3130" s="869">
        <v>42527</v>
      </c>
      <c r="F3130" s="967" t="s">
        <v>444</v>
      </c>
      <c r="G3130" s="871" t="s">
        <v>608</v>
      </c>
      <c r="H3130" s="965" t="s">
        <v>1328</v>
      </c>
      <c r="I3130" s="254">
        <v>780</v>
      </c>
      <c r="J3130" s="254">
        <v>7756.8735294928383</v>
      </c>
      <c r="K3130" s="51">
        <f t="shared" si="164"/>
        <v>6050361</v>
      </c>
      <c r="L3130" s="966" t="s">
        <v>172</v>
      </c>
      <c r="M3130" s="966" t="s">
        <v>167</v>
      </c>
      <c r="N3130" s="52" t="str">
        <f>IF(AND('331-CT'!$E$7=TH!H3130,OR(L3130="331",M3130="331")),"331",IF(AND(OR(L3130="131",M3130="131"),H3130='131-CT'!$E$7),"131",""))</f>
        <v/>
      </c>
      <c r="O3130" s="857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65"/>
    </row>
    <row r="3131" spans="1:28" s="900" customFormat="1" ht="15.75" customHeight="1">
      <c r="A3131" s="895" t="str">
        <f>IF(B3131&lt;&gt;"",IF(AND(B3131&gt;=_TM1,B3131&lt;=_TM2,OR(TH!L3131="1111",TH!M3131="1111")),TH!D3131,""),"")</f>
        <v/>
      </c>
      <c r="B3131" s="896">
        <f t="shared" si="165"/>
        <v>6</v>
      </c>
      <c r="C3131" s="897">
        <f t="shared" si="163"/>
        <v>42527</v>
      </c>
      <c r="D3131" s="897" t="s">
        <v>1580</v>
      </c>
      <c r="E3131" s="869">
        <v>42527</v>
      </c>
      <c r="F3131" s="967" t="s">
        <v>676</v>
      </c>
      <c r="G3131" s="871" t="s">
        <v>609</v>
      </c>
      <c r="H3131" s="965" t="s">
        <v>1328</v>
      </c>
      <c r="I3131" s="254">
        <v>2000</v>
      </c>
      <c r="J3131" s="254">
        <v>6733.9891080212556</v>
      </c>
      <c r="K3131" s="51">
        <f t="shared" si="164"/>
        <v>13467978</v>
      </c>
      <c r="L3131" s="966" t="s">
        <v>172</v>
      </c>
      <c r="M3131" s="966" t="s">
        <v>167</v>
      </c>
      <c r="N3131" s="52" t="str">
        <f>IF(AND('331-CT'!$E$7=TH!H3131,OR(L3131="331",M3131="331")),"331",IF(AND(OR(L3131="131",M3131="131"),H3131='131-CT'!$E$7),"131",""))</f>
        <v/>
      </c>
      <c r="O3131" s="857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65"/>
    </row>
    <row r="3132" spans="1:28" s="900" customFormat="1" ht="15.75" customHeight="1">
      <c r="A3132" s="895" t="str">
        <f>IF(B3132&lt;&gt;"",IF(AND(B3132&gt;=_TM1,B3132&lt;=_TM2,OR(TH!L3132="1111",TH!M3132="1111")),TH!D3132,""),"")</f>
        <v/>
      </c>
      <c r="B3132" s="896">
        <f t="shared" si="165"/>
        <v>6</v>
      </c>
      <c r="C3132" s="897">
        <f t="shared" si="163"/>
        <v>42527</v>
      </c>
      <c r="D3132" s="897" t="s">
        <v>1580</v>
      </c>
      <c r="E3132" s="869">
        <v>42527</v>
      </c>
      <c r="F3132" s="967" t="s">
        <v>466</v>
      </c>
      <c r="G3132" s="871" t="s">
        <v>1082</v>
      </c>
      <c r="H3132" s="965" t="s">
        <v>1328</v>
      </c>
      <c r="I3132" s="254">
        <v>517</v>
      </c>
      <c r="J3132" s="254">
        <v>5796.3450550056377</v>
      </c>
      <c r="K3132" s="51">
        <f t="shared" si="164"/>
        <v>2996710</v>
      </c>
      <c r="L3132" s="966" t="s">
        <v>172</v>
      </c>
      <c r="M3132" s="966" t="s">
        <v>167</v>
      </c>
      <c r="N3132" s="52" t="str">
        <f>IF(AND('331-CT'!$E$7=TH!H3132,OR(L3132="331",M3132="331")),"331",IF(AND(OR(L3132="131",M3132="131"),H3132='131-CT'!$E$7),"131",""))</f>
        <v/>
      </c>
      <c r="O3132" s="857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65"/>
    </row>
    <row r="3133" spans="1:28" s="900" customFormat="1" ht="15.75" customHeight="1">
      <c r="A3133" s="895" t="str">
        <f>IF(B3133&lt;&gt;"",IF(AND(B3133&gt;=_TM1,B3133&lt;=_TM2,OR(TH!L3133="1111",TH!M3133="1111")),TH!D3133,""),"")</f>
        <v/>
      </c>
      <c r="B3133" s="896">
        <f t="shared" si="165"/>
        <v>6</v>
      </c>
      <c r="C3133" s="897">
        <f t="shared" si="163"/>
        <v>42528</v>
      </c>
      <c r="D3133" s="897" t="s">
        <v>1580</v>
      </c>
      <c r="E3133" s="869">
        <v>42528</v>
      </c>
      <c r="F3133" s="967" t="s">
        <v>657</v>
      </c>
      <c r="G3133" s="871" t="s">
        <v>610</v>
      </c>
      <c r="H3133" s="965" t="s">
        <v>1328</v>
      </c>
      <c r="I3133" s="254">
        <v>308</v>
      </c>
      <c r="J3133" s="254">
        <v>6393.027634197394</v>
      </c>
      <c r="K3133" s="51">
        <f t="shared" si="164"/>
        <v>1969053</v>
      </c>
      <c r="L3133" s="966" t="s">
        <v>172</v>
      </c>
      <c r="M3133" s="966" t="s">
        <v>167</v>
      </c>
      <c r="N3133" s="52" t="str">
        <f>IF(AND('331-CT'!$E$7=TH!H3133,OR(L3133="331",M3133="331")),"331",IF(AND(OR(L3133="131",M3133="131"),H3133='131-CT'!$E$7),"131",""))</f>
        <v/>
      </c>
      <c r="O3133" s="857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65"/>
    </row>
    <row r="3134" spans="1:28" s="900" customFormat="1" ht="15.75" customHeight="1">
      <c r="A3134" s="895" t="str">
        <f>IF(B3134&lt;&gt;"",IF(AND(B3134&gt;=_TM1,B3134&lt;=_TM2,OR(TH!L3134="1111",TH!M3134="1111")),TH!D3134,""),"")</f>
        <v/>
      </c>
      <c r="B3134" s="896">
        <f t="shared" si="165"/>
        <v>6</v>
      </c>
      <c r="C3134" s="897">
        <f t="shared" si="163"/>
        <v>42528</v>
      </c>
      <c r="D3134" s="897" t="s">
        <v>1580</v>
      </c>
      <c r="E3134" s="869">
        <v>42528</v>
      </c>
      <c r="F3134" s="967" t="s">
        <v>430</v>
      </c>
      <c r="G3134" s="871" t="s">
        <v>610</v>
      </c>
      <c r="H3134" s="965" t="s">
        <v>1328</v>
      </c>
      <c r="I3134" s="254">
        <v>308</v>
      </c>
      <c r="J3134" s="254">
        <v>8097.8350033166989</v>
      </c>
      <c r="K3134" s="51">
        <f t="shared" si="164"/>
        <v>2494133</v>
      </c>
      <c r="L3134" s="966" t="s">
        <v>172</v>
      </c>
      <c r="M3134" s="966" t="s">
        <v>167</v>
      </c>
      <c r="N3134" s="52" t="str">
        <f>IF(AND('331-CT'!$E$7=TH!H3134,OR(L3134="331",M3134="331")),"331",IF(AND(OR(L3134="131",M3134="131"),H3134='131-CT'!$E$7),"131",""))</f>
        <v/>
      </c>
      <c r="O3134" s="857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65"/>
    </row>
    <row r="3135" spans="1:28" s="900" customFormat="1" ht="15.75" customHeight="1">
      <c r="A3135" s="895" t="str">
        <f>IF(B3135&lt;&gt;"",IF(AND(B3135&gt;=_TM1,B3135&lt;=_TM2,OR(TH!L3135="1111",TH!M3135="1111")),TH!D3135,""),"")</f>
        <v/>
      </c>
      <c r="B3135" s="896">
        <f t="shared" si="165"/>
        <v>6</v>
      </c>
      <c r="C3135" s="897">
        <f t="shared" ref="C3135:C3198" si="166">E3135</f>
        <v>42529</v>
      </c>
      <c r="D3135" s="897" t="s">
        <v>1580</v>
      </c>
      <c r="E3135" s="869">
        <v>42529</v>
      </c>
      <c r="F3135" s="967" t="s">
        <v>466</v>
      </c>
      <c r="G3135" s="871" t="s">
        <v>611</v>
      </c>
      <c r="H3135" s="965" t="s">
        <v>1328</v>
      </c>
      <c r="I3135" s="254">
        <v>1023</v>
      </c>
      <c r="J3135" s="254">
        <v>5796.3450550056377</v>
      </c>
      <c r="K3135" s="51">
        <f t="shared" si="164"/>
        <v>5929661</v>
      </c>
      <c r="L3135" s="966" t="s">
        <v>172</v>
      </c>
      <c r="M3135" s="966" t="s">
        <v>167</v>
      </c>
      <c r="N3135" s="52" t="str">
        <f>IF(AND('331-CT'!$E$7=TH!H3135,OR(L3135="331",M3135="331")),"331",IF(AND(OR(L3135="131",M3135="131"),H3135='131-CT'!$E$7),"131",""))</f>
        <v/>
      </c>
      <c r="O3135" s="857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65"/>
    </row>
    <row r="3136" spans="1:28" s="900" customFormat="1" ht="15.75" customHeight="1">
      <c r="A3136" s="895" t="str">
        <f>IF(B3136&lt;&gt;"",IF(AND(B3136&gt;=_TM1,B3136&lt;=_TM2,OR(TH!L3136="1111",TH!M3136="1111")),TH!D3136,""),"")</f>
        <v/>
      </c>
      <c r="B3136" s="896">
        <f t="shared" si="165"/>
        <v>6</v>
      </c>
      <c r="C3136" s="897">
        <f t="shared" si="166"/>
        <v>42530</v>
      </c>
      <c r="D3136" s="897" t="s">
        <v>1580</v>
      </c>
      <c r="E3136" s="869">
        <v>42530</v>
      </c>
      <c r="F3136" s="967" t="s">
        <v>1083</v>
      </c>
      <c r="G3136" s="871" t="s">
        <v>612</v>
      </c>
      <c r="H3136" s="965" t="s">
        <v>1328</v>
      </c>
      <c r="I3136" s="254">
        <v>1010</v>
      </c>
      <c r="J3136" s="254">
        <v>11166.488267731449</v>
      </c>
      <c r="K3136" s="51">
        <f t="shared" ref="K3136:K3199" si="167">ROUND(I3136*J3136,0)</f>
        <v>11278153</v>
      </c>
      <c r="L3136" s="966" t="s">
        <v>172</v>
      </c>
      <c r="M3136" s="966" t="s">
        <v>167</v>
      </c>
      <c r="N3136" s="52" t="str">
        <f>IF(AND('331-CT'!$E$7=TH!H3136,OR(L3136="331",M3136="331")),"331",IF(AND(OR(L3136="131",M3136="131"),H3136='131-CT'!$E$7),"131",""))</f>
        <v/>
      </c>
      <c r="O3136" s="857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65"/>
    </row>
    <row r="3137" spans="1:28" s="900" customFormat="1" ht="15.75" customHeight="1">
      <c r="A3137" s="895" t="str">
        <f>IF(B3137&lt;&gt;"",IF(AND(B3137&gt;=_TM1,B3137&lt;=_TM2,OR(TH!L3137="1111",TH!M3137="1111")),TH!D3137,""),"")</f>
        <v/>
      </c>
      <c r="B3137" s="896">
        <f t="shared" si="165"/>
        <v>6</v>
      </c>
      <c r="C3137" s="897">
        <f t="shared" si="166"/>
        <v>42530</v>
      </c>
      <c r="D3137" s="897" t="s">
        <v>1580</v>
      </c>
      <c r="E3137" s="869">
        <v>42530</v>
      </c>
      <c r="F3137" s="967" t="s">
        <v>675</v>
      </c>
      <c r="G3137" s="871" t="s">
        <v>612</v>
      </c>
      <c r="H3137" s="965" t="s">
        <v>1328</v>
      </c>
      <c r="I3137" s="254">
        <v>50</v>
      </c>
      <c r="J3137" s="254">
        <v>11166.488267731449</v>
      </c>
      <c r="K3137" s="51">
        <f t="shared" si="167"/>
        <v>558324</v>
      </c>
      <c r="L3137" s="966" t="s">
        <v>172</v>
      </c>
      <c r="M3137" s="966" t="s">
        <v>167</v>
      </c>
      <c r="N3137" s="52" t="str">
        <f>IF(AND('331-CT'!$E$7=TH!H3137,OR(L3137="331",M3137="331")),"331",IF(AND(OR(L3137="131",M3137="131"),H3137='131-CT'!$E$7),"131",""))</f>
        <v/>
      </c>
      <c r="O3137" s="857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65"/>
    </row>
    <row r="3138" spans="1:28" s="900" customFormat="1" ht="15.75" customHeight="1">
      <c r="A3138" s="895" t="str">
        <f>IF(B3138&lt;&gt;"",IF(AND(B3138&gt;=_TM1,B3138&lt;=_TM2,OR(TH!L3138="1111",TH!M3138="1111")),TH!D3138,""),"")</f>
        <v/>
      </c>
      <c r="B3138" s="896">
        <f t="shared" si="165"/>
        <v>6</v>
      </c>
      <c r="C3138" s="897">
        <f t="shared" si="166"/>
        <v>42530</v>
      </c>
      <c r="D3138" s="897" t="s">
        <v>1580</v>
      </c>
      <c r="E3138" s="869">
        <v>42530</v>
      </c>
      <c r="F3138" s="967" t="s">
        <v>723</v>
      </c>
      <c r="G3138" s="871" t="s">
        <v>612</v>
      </c>
      <c r="H3138" s="965" t="s">
        <v>1328</v>
      </c>
      <c r="I3138" s="254">
        <v>2120</v>
      </c>
      <c r="J3138" s="254">
        <v>767.16331610368729</v>
      </c>
      <c r="K3138" s="51">
        <f t="shared" si="167"/>
        <v>1626386</v>
      </c>
      <c r="L3138" s="966" t="s">
        <v>172</v>
      </c>
      <c r="M3138" s="966" t="s">
        <v>167</v>
      </c>
      <c r="N3138" s="52" t="str">
        <f>IF(AND('331-CT'!$E$7=TH!H3138,OR(L3138="331",M3138="331")),"331",IF(AND(OR(L3138="131",M3138="131"),H3138='131-CT'!$E$7),"131",""))</f>
        <v/>
      </c>
      <c r="O3138" s="857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65"/>
    </row>
    <row r="3139" spans="1:28" s="900" customFormat="1" ht="15.75" customHeight="1">
      <c r="A3139" s="895" t="str">
        <f>IF(B3139&lt;&gt;"",IF(AND(B3139&gt;=_TM1,B3139&lt;=_TM2,OR(TH!L3139="1111",TH!M3139="1111")),TH!D3139,""),"")</f>
        <v/>
      </c>
      <c r="B3139" s="896">
        <f t="shared" si="165"/>
        <v>6</v>
      </c>
      <c r="C3139" s="897">
        <f t="shared" si="166"/>
        <v>42530</v>
      </c>
      <c r="D3139" s="897" t="s">
        <v>1580</v>
      </c>
      <c r="E3139" s="869">
        <v>42530</v>
      </c>
      <c r="F3139" s="967" t="s">
        <v>1060</v>
      </c>
      <c r="G3139" s="871" t="s">
        <v>613</v>
      </c>
      <c r="H3139" s="965" t="s">
        <v>1328</v>
      </c>
      <c r="I3139" s="254">
        <v>490</v>
      </c>
      <c r="J3139" s="254">
        <v>4773.460633534055</v>
      </c>
      <c r="K3139" s="51">
        <f t="shared" si="167"/>
        <v>2338996</v>
      </c>
      <c r="L3139" s="966" t="s">
        <v>172</v>
      </c>
      <c r="M3139" s="966" t="s">
        <v>167</v>
      </c>
      <c r="N3139" s="52" t="str">
        <f>IF(AND('331-CT'!$E$7=TH!H3139,OR(L3139="331",M3139="331")),"331",IF(AND(OR(L3139="131",M3139="131"),H3139='131-CT'!$E$7),"131",""))</f>
        <v/>
      </c>
      <c r="O3139" s="857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65"/>
    </row>
    <row r="3140" spans="1:28" s="900" customFormat="1" ht="15.75" customHeight="1">
      <c r="A3140" s="895" t="str">
        <f>IF(B3140&lt;&gt;"",IF(AND(B3140&gt;=_TM1,B3140&lt;=_TM2,OR(TH!L3140="1111",TH!M3140="1111")),TH!D3140,""),"")</f>
        <v/>
      </c>
      <c r="B3140" s="896">
        <f t="shared" si="165"/>
        <v>6</v>
      </c>
      <c r="C3140" s="897">
        <f t="shared" si="166"/>
        <v>42530</v>
      </c>
      <c r="D3140" s="897" t="s">
        <v>1580</v>
      </c>
      <c r="E3140" s="869">
        <v>42530</v>
      </c>
      <c r="F3140" s="967" t="s">
        <v>1085</v>
      </c>
      <c r="G3140" s="871" t="s">
        <v>613</v>
      </c>
      <c r="H3140" s="965" t="s">
        <v>1328</v>
      </c>
      <c r="I3140" s="254">
        <v>510</v>
      </c>
      <c r="J3140" s="254">
        <v>5881.5854234616017</v>
      </c>
      <c r="K3140" s="51">
        <f t="shared" si="167"/>
        <v>2999609</v>
      </c>
      <c r="L3140" s="966" t="s">
        <v>172</v>
      </c>
      <c r="M3140" s="966" t="s">
        <v>167</v>
      </c>
      <c r="N3140" s="52" t="str">
        <f>IF(AND('331-CT'!$E$7=TH!H3140,OR(L3140="331",M3140="331")),"331",IF(AND(OR(L3140="131",M3140="131"),H3140='131-CT'!$E$7),"131",""))</f>
        <v/>
      </c>
      <c r="O3140" s="857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65"/>
    </row>
    <row r="3141" spans="1:28" s="900" customFormat="1" ht="15.75" customHeight="1">
      <c r="A3141" s="895" t="str">
        <f>IF(B3141&lt;&gt;"",IF(AND(B3141&gt;=_TM1,B3141&lt;=_TM2,OR(TH!L3141="1111",TH!M3141="1111")),TH!D3141,""),"")</f>
        <v/>
      </c>
      <c r="B3141" s="896">
        <f t="shared" si="165"/>
        <v>6</v>
      </c>
      <c r="C3141" s="897">
        <f t="shared" si="166"/>
        <v>42535</v>
      </c>
      <c r="D3141" s="897" t="s">
        <v>1580</v>
      </c>
      <c r="E3141" s="869">
        <v>42535</v>
      </c>
      <c r="F3141" s="967" t="s">
        <v>466</v>
      </c>
      <c r="G3141" s="871" t="s">
        <v>614</v>
      </c>
      <c r="H3141" s="965" t="s">
        <v>1328</v>
      </c>
      <c r="I3141" s="254">
        <v>402</v>
      </c>
      <c r="J3141" s="254">
        <v>5796.3450550056377</v>
      </c>
      <c r="K3141" s="51">
        <f t="shared" si="167"/>
        <v>2330131</v>
      </c>
      <c r="L3141" s="966" t="s">
        <v>172</v>
      </c>
      <c r="M3141" s="966" t="s">
        <v>167</v>
      </c>
      <c r="N3141" s="52" t="str">
        <f>IF(AND('331-CT'!$E$7=TH!H3141,OR(L3141="331",M3141="331")),"331",IF(AND(OR(L3141="131",M3141="131"),H3141='131-CT'!$E$7),"131",""))</f>
        <v/>
      </c>
      <c r="O3141" s="857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65"/>
    </row>
    <row r="3142" spans="1:28" s="900" customFormat="1" ht="15.75" customHeight="1">
      <c r="A3142" s="895" t="str">
        <f>IF(B3142&lt;&gt;"",IF(AND(B3142&gt;=_TM1,B3142&lt;=_TM2,OR(TH!L3142="1111",TH!M3142="1111")),TH!D3142,""),"")</f>
        <v/>
      </c>
      <c r="B3142" s="896">
        <f t="shared" si="165"/>
        <v>6</v>
      </c>
      <c r="C3142" s="897">
        <f t="shared" si="166"/>
        <v>42535</v>
      </c>
      <c r="D3142" s="897" t="s">
        <v>1580</v>
      </c>
      <c r="E3142" s="869">
        <v>42535</v>
      </c>
      <c r="F3142" s="967" t="s">
        <v>542</v>
      </c>
      <c r="G3142" s="871" t="s">
        <v>614</v>
      </c>
      <c r="H3142" s="965" t="s">
        <v>1328</v>
      </c>
      <c r="I3142" s="254">
        <v>317</v>
      </c>
      <c r="J3142" s="254">
        <v>4517.7395281661584</v>
      </c>
      <c r="K3142" s="51">
        <f t="shared" si="167"/>
        <v>1432123</v>
      </c>
      <c r="L3142" s="966" t="s">
        <v>172</v>
      </c>
      <c r="M3142" s="966" t="s">
        <v>167</v>
      </c>
      <c r="N3142" s="52" t="str">
        <f>IF(AND('331-CT'!$E$7=TH!H3142,OR(L3142="331",M3142="331")),"331",IF(AND(OR(L3142="131",M3142="131"),H3142='131-CT'!$E$7),"131",""))</f>
        <v/>
      </c>
      <c r="O3142" s="857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65"/>
    </row>
    <row r="3143" spans="1:28" s="900" customFormat="1" ht="15.75" customHeight="1">
      <c r="A3143" s="895" t="str">
        <f>IF(B3143&lt;&gt;"",IF(AND(B3143&gt;=_TM1,B3143&lt;=_TM2,OR(TH!L3143="1111",TH!M3143="1111")),TH!D3143,""),"")</f>
        <v/>
      </c>
      <c r="B3143" s="896">
        <f t="shared" si="165"/>
        <v>6</v>
      </c>
      <c r="C3143" s="897">
        <f t="shared" si="166"/>
        <v>42536</v>
      </c>
      <c r="D3143" s="897" t="s">
        <v>1580</v>
      </c>
      <c r="E3143" s="869">
        <v>42536</v>
      </c>
      <c r="F3143" s="967" t="s">
        <v>1474</v>
      </c>
      <c r="G3143" s="871" t="s">
        <v>615</v>
      </c>
      <c r="H3143" s="965" t="s">
        <v>1328</v>
      </c>
      <c r="I3143" s="254">
        <v>300</v>
      </c>
      <c r="J3143" s="254">
        <v>8097.8350033166989</v>
      </c>
      <c r="K3143" s="51">
        <f t="shared" si="167"/>
        <v>2429351</v>
      </c>
      <c r="L3143" s="966" t="s">
        <v>172</v>
      </c>
      <c r="M3143" s="966" t="s">
        <v>167</v>
      </c>
      <c r="N3143" s="52" t="str">
        <f>IF(AND('331-CT'!$E$7=TH!H3143,OR(L3143="331",M3143="331")),"331",IF(AND(OR(L3143="131",M3143="131"),H3143='131-CT'!$E$7),"131",""))</f>
        <v/>
      </c>
      <c r="O3143" s="857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65"/>
    </row>
    <row r="3144" spans="1:28" s="900" customFormat="1" ht="15.75" customHeight="1">
      <c r="A3144" s="895" t="str">
        <f>IF(B3144&lt;&gt;"",IF(AND(B3144&gt;=_TM1,B3144&lt;=_TM2,OR(TH!L3144="1111",TH!M3144="1111")),TH!D3144,""),"")</f>
        <v/>
      </c>
      <c r="B3144" s="896">
        <f t="shared" si="165"/>
        <v>6</v>
      </c>
      <c r="C3144" s="897">
        <f t="shared" si="166"/>
        <v>42539</v>
      </c>
      <c r="D3144" s="897" t="s">
        <v>1580</v>
      </c>
      <c r="E3144" s="869">
        <v>42539</v>
      </c>
      <c r="F3144" s="967" t="s">
        <v>510</v>
      </c>
      <c r="G3144" s="871" t="s">
        <v>616</v>
      </c>
      <c r="H3144" s="965" t="s">
        <v>1328</v>
      </c>
      <c r="I3144" s="254">
        <v>237</v>
      </c>
      <c r="J3144" s="254">
        <v>10825.526793907587</v>
      </c>
      <c r="K3144" s="51">
        <f t="shared" si="167"/>
        <v>2565650</v>
      </c>
      <c r="L3144" s="966" t="s">
        <v>172</v>
      </c>
      <c r="M3144" s="966" t="s">
        <v>167</v>
      </c>
      <c r="N3144" s="52" t="str">
        <f>IF(AND('331-CT'!$E$7=TH!H3144,OR(L3144="331",M3144="331")),"331",IF(AND(OR(L3144="131",M3144="131"),H3144='131-CT'!$E$7),"131",""))</f>
        <v/>
      </c>
      <c r="O3144" s="857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65"/>
    </row>
    <row r="3145" spans="1:28" s="900" customFormat="1" ht="15.75" customHeight="1">
      <c r="A3145" s="895" t="str">
        <f>IF(B3145&lt;&gt;"",IF(AND(B3145&gt;=_TM1,B3145&lt;=_TM2,OR(TH!L3145="1111",TH!M3145="1111")),TH!D3145,""),"")</f>
        <v/>
      </c>
      <c r="B3145" s="896">
        <f t="shared" si="165"/>
        <v>6</v>
      </c>
      <c r="C3145" s="897">
        <f t="shared" si="166"/>
        <v>42539</v>
      </c>
      <c r="D3145" s="897" t="s">
        <v>1580</v>
      </c>
      <c r="E3145" s="869">
        <v>42539</v>
      </c>
      <c r="F3145" s="967" t="s">
        <v>503</v>
      </c>
      <c r="G3145" s="871" t="s">
        <v>616</v>
      </c>
      <c r="H3145" s="965" t="s">
        <v>1328</v>
      </c>
      <c r="I3145" s="254">
        <v>51</v>
      </c>
      <c r="J3145" s="254">
        <v>8438.7964771405605</v>
      </c>
      <c r="K3145" s="51">
        <f t="shared" si="167"/>
        <v>430379</v>
      </c>
      <c r="L3145" s="966" t="s">
        <v>172</v>
      </c>
      <c r="M3145" s="966" t="s">
        <v>167</v>
      </c>
      <c r="N3145" s="52" t="str">
        <f>IF(AND('331-CT'!$E$7=TH!H3145,OR(L3145="331",M3145="331")),"331",IF(AND(OR(L3145="131",M3145="131"),H3145='131-CT'!$E$7),"131",""))</f>
        <v/>
      </c>
      <c r="O3145" s="857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65"/>
    </row>
    <row r="3146" spans="1:28" s="900" customFormat="1" ht="15.75" customHeight="1">
      <c r="A3146" s="895" t="str">
        <f>IF(B3146&lt;&gt;"",IF(AND(B3146&gt;=_TM1,B3146&lt;=_TM2,OR(TH!L3146="1111",TH!M3146="1111")),TH!D3146,""),"")</f>
        <v/>
      </c>
      <c r="B3146" s="896">
        <f t="shared" si="165"/>
        <v>6</v>
      </c>
      <c r="C3146" s="897">
        <f t="shared" si="166"/>
        <v>42539</v>
      </c>
      <c r="D3146" s="897" t="s">
        <v>1580</v>
      </c>
      <c r="E3146" s="869">
        <v>42539</v>
      </c>
      <c r="F3146" s="967" t="s">
        <v>1079</v>
      </c>
      <c r="G3146" s="871" t="s">
        <v>616</v>
      </c>
      <c r="H3146" s="965" t="s">
        <v>1328</v>
      </c>
      <c r="I3146" s="254">
        <v>55</v>
      </c>
      <c r="J3146" s="254">
        <v>9973.1231093479346</v>
      </c>
      <c r="K3146" s="51">
        <f t="shared" si="167"/>
        <v>548522</v>
      </c>
      <c r="L3146" s="966" t="s">
        <v>172</v>
      </c>
      <c r="M3146" s="966" t="s">
        <v>167</v>
      </c>
      <c r="N3146" s="52" t="str">
        <f>IF(AND('331-CT'!$E$7=TH!H3146,OR(L3146="331",M3146="331")),"331",IF(AND(OR(L3146="131",M3146="131"),H3146='131-CT'!$E$7),"131",""))</f>
        <v/>
      </c>
      <c r="O3146" s="857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65"/>
    </row>
    <row r="3147" spans="1:28" s="900" customFormat="1" ht="15.75" customHeight="1">
      <c r="A3147" s="895" t="str">
        <f>IF(B3147&lt;&gt;"",IF(AND(B3147&gt;=_TM1,B3147&lt;=_TM2,OR(TH!L3147="1111",TH!M3147="1111")),TH!D3147,""),"")</f>
        <v/>
      </c>
      <c r="B3147" s="896">
        <f t="shared" si="165"/>
        <v>6</v>
      </c>
      <c r="C3147" s="897">
        <f t="shared" si="166"/>
        <v>42539</v>
      </c>
      <c r="D3147" s="897" t="s">
        <v>1580</v>
      </c>
      <c r="E3147" s="869">
        <v>42539</v>
      </c>
      <c r="F3147" s="967" t="s">
        <v>504</v>
      </c>
      <c r="G3147" s="871" t="s">
        <v>616</v>
      </c>
      <c r="H3147" s="965" t="s">
        <v>1328</v>
      </c>
      <c r="I3147" s="254">
        <v>357</v>
      </c>
      <c r="J3147" s="254">
        <v>10910.767162363552</v>
      </c>
      <c r="K3147" s="51">
        <f t="shared" si="167"/>
        <v>3895144</v>
      </c>
      <c r="L3147" s="966" t="s">
        <v>172</v>
      </c>
      <c r="M3147" s="966" t="s">
        <v>167</v>
      </c>
      <c r="N3147" s="52" t="str">
        <f>IF(AND('331-CT'!$E$7=TH!H3147,OR(L3147="331",M3147="331")),"331",IF(AND(OR(L3147="131",M3147="131"),H3147='131-CT'!$E$7),"131",""))</f>
        <v/>
      </c>
      <c r="O3147" s="857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65"/>
    </row>
    <row r="3148" spans="1:28" s="900" customFormat="1" ht="15.75" customHeight="1">
      <c r="A3148" s="895" t="str">
        <f>IF(B3148&lt;&gt;"",IF(AND(B3148&gt;=_TM1,B3148&lt;=_TM2,OR(TH!L3148="1111",TH!M3148="1111")),TH!D3148,""),"")</f>
        <v/>
      </c>
      <c r="B3148" s="896">
        <f t="shared" si="165"/>
        <v>6</v>
      </c>
      <c r="C3148" s="897">
        <f t="shared" si="166"/>
        <v>42539</v>
      </c>
      <c r="D3148" s="897" t="s">
        <v>1580</v>
      </c>
      <c r="E3148" s="869">
        <v>42539</v>
      </c>
      <c r="F3148" s="967" t="s">
        <v>504</v>
      </c>
      <c r="G3148" s="871" t="s">
        <v>617</v>
      </c>
      <c r="H3148" s="965" t="s">
        <v>1328</v>
      </c>
      <c r="I3148" s="254">
        <v>764</v>
      </c>
      <c r="J3148" s="254">
        <v>10910.767162363552</v>
      </c>
      <c r="K3148" s="51">
        <f t="shared" si="167"/>
        <v>8335826</v>
      </c>
      <c r="L3148" s="966" t="s">
        <v>172</v>
      </c>
      <c r="M3148" s="966" t="s">
        <v>167</v>
      </c>
      <c r="N3148" s="52" t="str">
        <f>IF(AND('331-CT'!$E$7=TH!H3148,OR(L3148="331",M3148="331")),"331",IF(AND(OR(L3148="131",M3148="131"),H3148='131-CT'!$E$7),"131",""))</f>
        <v/>
      </c>
      <c r="O3148" s="857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65"/>
    </row>
    <row r="3149" spans="1:28" s="900" customFormat="1" ht="15.75" customHeight="1">
      <c r="A3149" s="895" t="str">
        <f>IF(B3149&lt;&gt;"",IF(AND(B3149&gt;=_TM1,B3149&lt;=_TM2,OR(TH!L3149="1111",TH!M3149="1111")),TH!D3149,""),"")</f>
        <v/>
      </c>
      <c r="B3149" s="896">
        <f t="shared" si="165"/>
        <v>6</v>
      </c>
      <c r="C3149" s="897">
        <f t="shared" si="166"/>
        <v>42539</v>
      </c>
      <c r="D3149" s="897" t="s">
        <v>1580</v>
      </c>
      <c r="E3149" s="869">
        <v>42539</v>
      </c>
      <c r="F3149" s="967" t="s">
        <v>507</v>
      </c>
      <c r="G3149" s="871" t="s">
        <v>618</v>
      </c>
      <c r="H3149" s="965" t="s">
        <v>1328</v>
      </c>
      <c r="I3149" s="254">
        <v>214</v>
      </c>
      <c r="J3149" s="254">
        <v>7927.3542664047691</v>
      </c>
      <c r="K3149" s="51">
        <f t="shared" si="167"/>
        <v>1696454</v>
      </c>
      <c r="L3149" s="966" t="s">
        <v>172</v>
      </c>
      <c r="M3149" s="966" t="s">
        <v>167</v>
      </c>
      <c r="N3149" s="52" t="str">
        <f>IF(AND('331-CT'!$E$7=TH!H3149,OR(L3149="331",M3149="331")),"331",IF(AND(OR(L3149="131",M3149="131"),H3149='131-CT'!$E$7),"131",""))</f>
        <v/>
      </c>
      <c r="O3149" s="857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65"/>
    </row>
    <row r="3150" spans="1:28" s="900" customFormat="1" ht="15.75" customHeight="1">
      <c r="A3150" s="895" t="str">
        <f>IF(B3150&lt;&gt;"",IF(AND(B3150&gt;=_TM1,B3150&lt;=_TM2,OR(TH!L3150="1111",TH!M3150="1111")),TH!D3150,""),"")</f>
        <v/>
      </c>
      <c r="B3150" s="896">
        <f t="shared" si="165"/>
        <v>6</v>
      </c>
      <c r="C3150" s="897">
        <f t="shared" si="166"/>
        <v>42541</v>
      </c>
      <c r="D3150" s="897" t="s">
        <v>1580</v>
      </c>
      <c r="E3150" s="869">
        <v>42541</v>
      </c>
      <c r="F3150" s="967" t="s">
        <v>1016</v>
      </c>
      <c r="G3150" s="871" t="s">
        <v>619</v>
      </c>
      <c r="H3150" s="965" t="s">
        <v>1328</v>
      </c>
      <c r="I3150" s="254">
        <v>88</v>
      </c>
      <c r="J3150" s="254">
        <v>11507.449741555311</v>
      </c>
      <c r="K3150" s="51">
        <f t="shared" si="167"/>
        <v>1012656</v>
      </c>
      <c r="L3150" s="966" t="s">
        <v>172</v>
      </c>
      <c r="M3150" s="966" t="s">
        <v>167</v>
      </c>
      <c r="N3150" s="52" t="str">
        <f>IF(AND('331-CT'!$E$7=TH!H3150,OR(L3150="331",M3150="331")),"331",IF(AND(OR(L3150="131",M3150="131"),H3150='131-CT'!$E$7),"131",""))</f>
        <v/>
      </c>
      <c r="O3150" s="857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65"/>
    </row>
    <row r="3151" spans="1:28" s="900" customFormat="1" ht="15.75" customHeight="1">
      <c r="A3151" s="895" t="str">
        <f>IF(B3151&lt;&gt;"",IF(AND(B3151&gt;=_TM1,B3151&lt;=_TM2,OR(TH!L3151="1111",TH!M3151="1111")),TH!D3151,""),"")</f>
        <v/>
      </c>
      <c r="B3151" s="896">
        <f t="shared" si="165"/>
        <v>6</v>
      </c>
      <c r="C3151" s="897">
        <f t="shared" si="166"/>
        <v>42541</v>
      </c>
      <c r="D3151" s="897" t="s">
        <v>1580</v>
      </c>
      <c r="E3151" s="869">
        <v>42541</v>
      </c>
      <c r="F3151" s="967" t="s">
        <v>1079</v>
      </c>
      <c r="G3151" s="871" t="s">
        <v>619</v>
      </c>
      <c r="H3151" s="965" t="s">
        <v>1328</v>
      </c>
      <c r="I3151" s="254">
        <v>35</v>
      </c>
      <c r="J3151" s="254">
        <v>9973.1231093479346</v>
      </c>
      <c r="K3151" s="51">
        <f t="shared" si="167"/>
        <v>349059</v>
      </c>
      <c r="L3151" s="966" t="s">
        <v>172</v>
      </c>
      <c r="M3151" s="966" t="s">
        <v>167</v>
      </c>
      <c r="N3151" s="52" t="str">
        <f>IF(AND('331-CT'!$E$7=TH!H3151,OR(L3151="331",M3151="331")),"331",IF(AND(OR(L3151="131",M3151="131"),H3151='131-CT'!$E$7),"131",""))</f>
        <v/>
      </c>
      <c r="O3151" s="857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65"/>
    </row>
    <row r="3152" spans="1:28" s="900" customFormat="1" ht="15.75" customHeight="1">
      <c r="A3152" s="895" t="str">
        <f>IF(B3152&lt;&gt;"",IF(AND(B3152&gt;=_TM1,B3152&lt;=_TM2,OR(TH!L3152="1111",TH!M3152="1111")),TH!D3152,""),"")</f>
        <v/>
      </c>
      <c r="B3152" s="896">
        <f t="shared" si="165"/>
        <v>6</v>
      </c>
      <c r="C3152" s="897">
        <f t="shared" si="166"/>
        <v>42541</v>
      </c>
      <c r="D3152" s="897" t="s">
        <v>1580</v>
      </c>
      <c r="E3152" s="869">
        <v>42541</v>
      </c>
      <c r="F3152" s="967" t="s">
        <v>692</v>
      </c>
      <c r="G3152" s="871" t="s">
        <v>619</v>
      </c>
      <c r="H3152" s="965" t="s">
        <v>1328</v>
      </c>
      <c r="I3152" s="254">
        <v>27</v>
      </c>
      <c r="J3152" s="254">
        <v>6222.5468972854633</v>
      </c>
      <c r="K3152" s="51">
        <f t="shared" si="167"/>
        <v>168009</v>
      </c>
      <c r="L3152" s="966" t="s">
        <v>172</v>
      </c>
      <c r="M3152" s="966" t="s">
        <v>167</v>
      </c>
      <c r="N3152" s="52" t="str">
        <f>IF(AND('331-CT'!$E$7=TH!H3152,OR(L3152="331",M3152="331")),"331",IF(AND(OR(L3152="131",M3152="131"),H3152='131-CT'!$E$7),"131",""))</f>
        <v/>
      </c>
      <c r="O3152" s="857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65"/>
    </row>
    <row r="3153" spans="1:28" s="900" customFormat="1" ht="15.75" customHeight="1">
      <c r="A3153" s="895" t="str">
        <f>IF(B3153&lt;&gt;"",IF(AND(B3153&gt;=_TM1,B3153&lt;=_TM2,OR(TH!L3153="1111",TH!M3153="1111")),TH!D3153,""),"")</f>
        <v/>
      </c>
      <c r="B3153" s="896">
        <f t="shared" si="165"/>
        <v>6</v>
      </c>
      <c r="C3153" s="897">
        <f t="shared" si="166"/>
        <v>42541</v>
      </c>
      <c r="D3153" s="897" t="s">
        <v>1580</v>
      </c>
      <c r="E3153" s="869">
        <v>42541</v>
      </c>
      <c r="F3153" s="967" t="s">
        <v>438</v>
      </c>
      <c r="G3153" s="871" t="s">
        <v>619</v>
      </c>
      <c r="H3153" s="965" t="s">
        <v>1328</v>
      </c>
      <c r="I3153" s="254">
        <v>51</v>
      </c>
      <c r="J3153" s="254">
        <v>11251.728636187414</v>
      </c>
      <c r="K3153" s="51">
        <f t="shared" si="167"/>
        <v>573838</v>
      </c>
      <c r="L3153" s="966" t="s">
        <v>172</v>
      </c>
      <c r="M3153" s="966" t="s">
        <v>167</v>
      </c>
      <c r="N3153" s="52" t="str">
        <f>IF(AND('331-CT'!$E$7=TH!H3153,OR(L3153="331",M3153="331")),"331",IF(AND(OR(L3153="131",M3153="131"),H3153='131-CT'!$E$7),"131",""))</f>
        <v/>
      </c>
      <c r="O3153" s="857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65"/>
    </row>
    <row r="3154" spans="1:28" s="900" customFormat="1" ht="15.75" customHeight="1">
      <c r="A3154" s="895" t="str">
        <f>IF(B3154&lt;&gt;"",IF(AND(B3154&gt;=_TM1,B3154&lt;=_TM2,OR(TH!L3154="1111",TH!M3154="1111")),TH!D3154,""),"")</f>
        <v/>
      </c>
      <c r="B3154" s="896">
        <f t="shared" si="165"/>
        <v>6</v>
      </c>
      <c r="C3154" s="897">
        <f t="shared" si="166"/>
        <v>42541</v>
      </c>
      <c r="D3154" s="897" t="s">
        <v>1580</v>
      </c>
      <c r="E3154" s="869">
        <v>42541</v>
      </c>
      <c r="F3154" s="967" t="s">
        <v>1086</v>
      </c>
      <c r="G3154" s="871" t="s">
        <v>620</v>
      </c>
      <c r="H3154" s="965" t="s">
        <v>1328</v>
      </c>
      <c r="I3154" s="254">
        <v>2250</v>
      </c>
      <c r="J3154" s="254">
        <v>3750.5762120624713</v>
      </c>
      <c r="K3154" s="51">
        <f t="shared" si="167"/>
        <v>8438796</v>
      </c>
      <c r="L3154" s="966" t="s">
        <v>172</v>
      </c>
      <c r="M3154" s="966" t="s">
        <v>167</v>
      </c>
      <c r="N3154" s="52" t="str">
        <f>IF(AND('331-CT'!$E$7=TH!H3154,OR(L3154="331",M3154="331")),"331",IF(AND(OR(L3154="131",M3154="131"),H3154='131-CT'!$E$7),"131",""))</f>
        <v/>
      </c>
      <c r="O3154" s="857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65"/>
    </row>
    <row r="3155" spans="1:28" s="900" customFormat="1" ht="15.75" customHeight="1">
      <c r="A3155" s="895" t="str">
        <f>IF(B3155&lt;&gt;"",IF(AND(B3155&gt;=_TM1,B3155&lt;=_TM2,OR(TH!L3155="1111",TH!M3155="1111")),TH!D3155,""),"")</f>
        <v/>
      </c>
      <c r="B3155" s="896">
        <f t="shared" si="165"/>
        <v>6</v>
      </c>
      <c r="C3155" s="897">
        <f t="shared" si="166"/>
        <v>42542</v>
      </c>
      <c r="D3155" s="897" t="s">
        <v>1580</v>
      </c>
      <c r="E3155" s="869">
        <v>42542</v>
      </c>
      <c r="F3155" s="967" t="s">
        <v>964</v>
      </c>
      <c r="G3155" s="871" t="s">
        <v>621</v>
      </c>
      <c r="H3155" s="965" t="s">
        <v>1328</v>
      </c>
      <c r="I3155" s="254">
        <v>245</v>
      </c>
      <c r="J3155" s="254">
        <v>12018.8919522911</v>
      </c>
      <c r="K3155" s="51">
        <f t="shared" si="167"/>
        <v>2944629</v>
      </c>
      <c r="L3155" s="966" t="s">
        <v>172</v>
      </c>
      <c r="M3155" s="966" t="s">
        <v>167</v>
      </c>
      <c r="N3155" s="52" t="str">
        <f>IF(AND('331-CT'!$E$7=TH!H3155,OR(L3155="331",M3155="331")),"331",IF(AND(OR(L3155="131",M3155="131"),H3155='131-CT'!$E$7),"131",""))</f>
        <v/>
      </c>
      <c r="O3155" s="857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65"/>
    </row>
    <row r="3156" spans="1:28" s="900" customFormat="1" ht="15.75" customHeight="1">
      <c r="A3156" s="895" t="str">
        <f>IF(B3156&lt;&gt;"",IF(AND(B3156&gt;=_TM1,B3156&lt;=_TM2,OR(TH!L3156="1111",TH!M3156="1111")),TH!D3156,""),"")</f>
        <v/>
      </c>
      <c r="B3156" s="896">
        <f t="shared" si="165"/>
        <v>6</v>
      </c>
      <c r="C3156" s="897">
        <f t="shared" si="166"/>
        <v>42542</v>
      </c>
      <c r="D3156" s="897" t="s">
        <v>1580</v>
      </c>
      <c r="E3156" s="869">
        <v>42542</v>
      </c>
      <c r="F3156" s="967" t="s">
        <v>1087</v>
      </c>
      <c r="G3156" s="871" t="s">
        <v>621</v>
      </c>
      <c r="H3156" s="965" t="s">
        <v>1328</v>
      </c>
      <c r="I3156" s="254">
        <v>30</v>
      </c>
      <c r="J3156" s="254">
        <v>9035.4790563323168</v>
      </c>
      <c r="K3156" s="51">
        <f t="shared" si="167"/>
        <v>271064</v>
      </c>
      <c r="L3156" s="966" t="s">
        <v>172</v>
      </c>
      <c r="M3156" s="966" t="s">
        <v>167</v>
      </c>
      <c r="N3156" s="52" t="str">
        <f>IF(AND('331-CT'!$E$7=TH!H3156,OR(L3156="331",M3156="331")),"331",IF(AND(OR(L3156="131",M3156="131"),H3156='131-CT'!$E$7),"131",""))</f>
        <v/>
      </c>
      <c r="O3156" s="857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65"/>
    </row>
    <row r="3157" spans="1:28" s="900" customFormat="1" ht="15.75" customHeight="1">
      <c r="A3157" s="895" t="str">
        <f>IF(B3157&lt;&gt;"",IF(AND(B3157&gt;=_TM1,B3157&lt;=_TM2,OR(TH!L3157="1111",TH!M3157="1111")),TH!D3157,""),"")</f>
        <v/>
      </c>
      <c r="B3157" s="896">
        <f t="shared" si="165"/>
        <v>6</v>
      </c>
      <c r="C3157" s="897">
        <f t="shared" si="166"/>
        <v>42542</v>
      </c>
      <c r="D3157" s="897" t="s">
        <v>1580</v>
      </c>
      <c r="E3157" s="869">
        <v>42542</v>
      </c>
      <c r="F3157" s="967" t="s">
        <v>510</v>
      </c>
      <c r="G3157" s="871" t="s">
        <v>621</v>
      </c>
      <c r="H3157" s="965" t="s">
        <v>1328</v>
      </c>
      <c r="I3157" s="254">
        <v>641</v>
      </c>
      <c r="J3157" s="254">
        <v>10825.526793907587</v>
      </c>
      <c r="K3157" s="51">
        <f t="shared" si="167"/>
        <v>6939163</v>
      </c>
      <c r="L3157" s="966" t="s">
        <v>172</v>
      </c>
      <c r="M3157" s="966" t="s">
        <v>167</v>
      </c>
      <c r="N3157" s="52" t="str">
        <f>IF(AND('331-CT'!$E$7=TH!H3157,OR(L3157="331",M3157="331")),"331",IF(AND(OR(L3157="131",M3157="131"),H3157='131-CT'!$E$7),"131",""))</f>
        <v/>
      </c>
      <c r="O3157" s="857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65"/>
    </row>
    <row r="3158" spans="1:28" s="900" customFormat="1" ht="15.75" customHeight="1">
      <c r="A3158" s="895" t="str">
        <f>IF(B3158&lt;&gt;"",IF(AND(B3158&gt;=_TM1,B3158&lt;=_TM2,OR(TH!L3158="1111",TH!M3158="1111")),TH!D3158,""),"")</f>
        <v/>
      </c>
      <c r="B3158" s="896">
        <f t="shared" si="165"/>
        <v>6</v>
      </c>
      <c r="C3158" s="897">
        <f t="shared" si="166"/>
        <v>42543</v>
      </c>
      <c r="D3158" s="897" t="s">
        <v>1580</v>
      </c>
      <c r="E3158" s="869">
        <v>42543</v>
      </c>
      <c r="F3158" s="967" t="s">
        <v>466</v>
      </c>
      <c r="G3158" s="871" t="s">
        <v>622</v>
      </c>
      <c r="H3158" s="965" t="s">
        <v>1328</v>
      </c>
      <c r="I3158" s="254">
        <v>834</v>
      </c>
      <c r="J3158" s="254">
        <v>5796.3450550056377</v>
      </c>
      <c r="K3158" s="51">
        <f t="shared" si="167"/>
        <v>4834152</v>
      </c>
      <c r="L3158" s="966" t="s">
        <v>172</v>
      </c>
      <c r="M3158" s="966" t="s">
        <v>167</v>
      </c>
      <c r="N3158" s="52" t="str">
        <f>IF(AND('331-CT'!$E$7=TH!H3158,OR(L3158="331",M3158="331")),"331",IF(AND(OR(L3158="131",M3158="131"),H3158='131-CT'!$E$7),"131",""))</f>
        <v/>
      </c>
      <c r="O3158" s="857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65"/>
    </row>
    <row r="3159" spans="1:28" s="900" customFormat="1" ht="15.75" customHeight="1">
      <c r="A3159" s="895" t="str">
        <f>IF(B3159&lt;&gt;"",IF(AND(B3159&gt;=_TM1,B3159&lt;=_TM2,OR(TH!L3159="1111",TH!M3159="1111")),TH!D3159,""),"")</f>
        <v/>
      </c>
      <c r="B3159" s="896">
        <f t="shared" si="165"/>
        <v>6</v>
      </c>
      <c r="C3159" s="897">
        <f t="shared" si="166"/>
        <v>42543</v>
      </c>
      <c r="D3159" s="897" t="s">
        <v>1580</v>
      </c>
      <c r="E3159" s="869">
        <v>42543</v>
      </c>
      <c r="F3159" s="967" t="s">
        <v>466</v>
      </c>
      <c r="G3159" s="871" t="s">
        <v>622</v>
      </c>
      <c r="H3159" s="965" t="s">
        <v>1328</v>
      </c>
      <c r="I3159" s="254">
        <v>322</v>
      </c>
      <c r="J3159" s="254">
        <v>5796.3450550056377</v>
      </c>
      <c r="K3159" s="51">
        <f t="shared" si="167"/>
        <v>1866423</v>
      </c>
      <c r="L3159" s="966" t="s">
        <v>172</v>
      </c>
      <c r="M3159" s="966" t="s">
        <v>167</v>
      </c>
      <c r="N3159" s="52" t="str">
        <f>IF(AND('331-CT'!$E$7=TH!H3159,OR(L3159="331",M3159="331")),"331",IF(AND(OR(L3159="131",M3159="131"),H3159='131-CT'!$E$7),"131",""))</f>
        <v/>
      </c>
      <c r="O3159" s="857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65"/>
    </row>
    <row r="3160" spans="1:28" s="900" customFormat="1" ht="15.75" customHeight="1">
      <c r="A3160" s="895" t="str">
        <f>IF(B3160&lt;&gt;"",IF(AND(B3160&gt;=_TM1,B3160&lt;=_TM2,OR(TH!L3160="1111",TH!M3160="1111")),TH!D3160,""),"")</f>
        <v/>
      </c>
      <c r="B3160" s="896">
        <f t="shared" si="165"/>
        <v>6</v>
      </c>
      <c r="C3160" s="897">
        <f t="shared" si="166"/>
        <v>42543</v>
      </c>
      <c r="D3160" s="897" t="s">
        <v>1580</v>
      </c>
      <c r="E3160" s="869">
        <v>42543</v>
      </c>
      <c r="F3160" s="967" t="s">
        <v>1088</v>
      </c>
      <c r="G3160" s="871" t="s">
        <v>623</v>
      </c>
      <c r="H3160" s="965" t="s">
        <v>1328</v>
      </c>
      <c r="I3160" s="254">
        <v>720</v>
      </c>
      <c r="J3160" s="254">
        <v>11848.41121537917</v>
      </c>
      <c r="K3160" s="51">
        <f t="shared" si="167"/>
        <v>8530856</v>
      </c>
      <c r="L3160" s="966" t="s">
        <v>172</v>
      </c>
      <c r="M3160" s="966" t="s">
        <v>167</v>
      </c>
      <c r="N3160" s="52" t="str">
        <f>IF(AND('331-CT'!$E$7=TH!H3160,OR(L3160="331",M3160="331")),"331",IF(AND(OR(L3160="131",M3160="131"),H3160='131-CT'!$E$7),"131",""))</f>
        <v/>
      </c>
      <c r="O3160" s="857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65"/>
    </row>
    <row r="3161" spans="1:28" s="900" customFormat="1" ht="15.75" customHeight="1">
      <c r="A3161" s="895" t="str">
        <f>IF(B3161&lt;&gt;"",IF(AND(B3161&gt;=_TM1,B3161&lt;=_TM2,OR(TH!L3161="1111",TH!M3161="1111")),TH!D3161,""),"")</f>
        <v/>
      </c>
      <c r="B3161" s="896">
        <f t="shared" si="165"/>
        <v>6</v>
      </c>
      <c r="C3161" s="897">
        <f t="shared" si="166"/>
        <v>42543</v>
      </c>
      <c r="D3161" s="897" t="s">
        <v>1580</v>
      </c>
      <c r="E3161" s="869">
        <v>42543</v>
      </c>
      <c r="F3161" s="967" t="s">
        <v>1079</v>
      </c>
      <c r="G3161" s="871" t="s">
        <v>623</v>
      </c>
      <c r="H3161" s="965" t="s">
        <v>1328</v>
      </c>
      <c r="I3161" s="254">
        <v>12</v>
      </c>
      <c r="J3161" s="254">
        <v>9973.1231093479346</v>
      </c>
      <c r="K3161" s="51">
        <f t="shared" si="167"/>
        <v>119677</v>
      </c>
      <c r="L3161" s="966" t="s">
        <v>172</v>
      </c>
      <c r="M3161" s="966" t="s">
        <v>167</v>
      </c>
      <c r="N3161" s="52" t="str">
        <f>IF(AND('331-CT'!$E$7=TH!H3161,OR(L3161="331",M3161="331")),"331",IF(AND(OR(L3161="131",M3161="131"),H3161='131-CT'!$E$7),"131",""))</f>
        <v/>
      </c>
      <c r="O3161" s="857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65"/>
    </row>
    <row r="3162" spans="1:28" s="900" customFormat="1" ht="15.75" customHeight="1">
      <c r="A3162" s="895" t="str">
        <f>IF(B3162&lt;&gt;"",IF(AND(B3162&gt;=_TM1,B3162&lt;=_TM2,OR(TH!L3162="1111",TH!M3162="1111")),TH!D3162,""),"")</f>
        <v/>
      </c>
      <c r="B3162" s="896">
        <f t="shared" si="165"/>
        <v>6</v>
      </c>
      <c r="C3162" s="897">
        <f t="shared" si="166"/>
        <v>42544</v>
      </c>
      <c r="D3162" s="897" t="s">
        <v>1580</v>
      </c>
      <c r="E3162" s="869">
        <v>42544</v>
      </c>
      <c r="F3162" s="967" t="s">
        <v>1089</v>
      </c>
      <c r="G3162" s="871" t="s">
        <v>625</v>
      </c>
      <c r="H3162" s="965" t="s">
        <v>1328</v>
      </c>
      <c r="I3162" s="254">
        <v>304</v>
      </c>
      <c r="J3162" s="254">
        <v>5370.1432127258113</v>
      </c>
      <c r="K3162" s="51">
        <f t="shared" si="167"/>
        <v>1632524</v>
      </c>
      <c r="L3162" s="966" t="s">
        <v>172</v>
      </c>
      <c r="M3162" s="966" t="s">
        <v>167</v>
      </c>
      <c r="N3162" s="52" t="str">
        <f>IF(AND('331-CT'!$E$7=TH!H3162,OR(L3162="331",M3162="331")),"331",IF(AND(OR(L3162="131",M3162="131"),H3162='131-CT'!$E$7),"131",""))</f>
        <v/>
      </c>
      <c r="O3162" s="857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65"/>
    </row>
    <row r="3163" spans="1:28" s="900" customFormat="1" ht="15.75" customHeight="1">
      <c r="A3163" s="895" t="str">
        <f>IF(B3163&lt;&gt;"",IF(AND(B3163&gt;=_TM1,B3163&lt;=_TM2,OR(TH!L3163="1111",TH!M3163="1111")),TH!D3163,""),"")</f>
        <v/>
      </c>
      <c r="B3163" s="896">
        <f t="shared" si="165"/>
        <v>6</v>
      </c>
      <c r="C3163" s="897">
        <f t="shared" si="166"/>
        <v>42545</v>
      </c>
      <c r="D3163" s="897" t="s">
        <v>1580</v>
      </c>
      <c r="E3163" s="869">
        <v>42545</v>
      </c>
      <c r="F3163" s="967" t="s">
        <v>466</v>
      </c>
      <c r="G3163" s="871" t="s">
        <v>626</v>
      </c>
      <c r="H3163" s="965" t="s">
        <v>1328</v>
      </c>
      <c r="I3163" s="254">
        <v>534</v>
      </c>
      <c r="J3163" s="254">
        <v>5796.3450550056377</v>
      </c>
      <c r="K3163" s="51">
        <f t="shared" si="167"/>
        <v>3095248</v>
      </c>
      <c r="L3163" s="966" t="s">
        <v>172</v>
      </c>
      <c r="M3163" s="966" t="s">
        <v>167</v>
      </c>
      <c r="N3163" s="52" t="str">
        <f>IF(AND('331-CT'!$E$7=TH!H3163,OR(L3163="331",M3163="331")),"331",IF(AND(OR(L3163="131",M3163="131"),H3163='131-CT'!$E$7),"131",""))</f>
        <v/>
      </c>
      <c r="O3163" s="857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65"/>
    </row>
    <row r="3164" spans="1:28" s="900" customFormat="1" ht="15.75" customHeight="1">
      <c r="A3164" s="895" t="str">
        <f>IF(B3164&lt;&gt;"",IF(AND(B3164&gt;=_TM1,B3164&lt;=_TM2,OR(TH!L3164="1111",TH!M3164="1111")),TH!D3164,""),"")</f>
        <v/>
      </c>
      <c r="B3164" s="896">
        <f t="shared" si="165"/>
        <v>6</v>
      </c>
      <c r="C3164" s="897">
        <f t="shared" si="166"/>
        <v>42545</v>
      </c>
      <c r="D3164" s="897" t="s">
        <v>1580</v>
      </c>
      <c r="E3164" s="869">
        <v>42545</v>
      </c>
      <c r="F3164" s="967" t="s">
        <v>466</v>
      </c>
      <c r="G3164" s="871" t="s">
        <v>626</v>
      </c>
      <c r="H3164" s="965" t="s">
        <v>1328</v>
      </c>
      <c r="I3164" s="254">
        <v>99</v>
      </c>
      <c r="J3164" s="254">
        <v>5796.3450550056377</v>
      </c>
      <c r="K3164" s="51">
        <f t="shared" si="167"/>
        <v>573838</v>
      </c>
      <c r="L3164" s="966" t="s">
        <v>172</v>
      </c>
      <c r="M3164" s="966" t="s">
        <v>167</v>
      </c>
      <c r="N3164" s="52" t="str">
        <f>IF(AND('331-CT'!$E$7=TH!H3164,OR(L3164="331",M3164="331")),"331",IF(AND(OR(L3164="131",M3164="131"),H3164='131-CT'!$E$7),"131",""))</f>
        <v/>
      </c>
      <c r="O3164" s="857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65"/>
    </row>
    <row r="3165" spans="1:28" s="900" customFormat="1" ht="15.75" customHeight="1">
      <c r="A3165" s="895" t="str">
        <f>IF(B3165&lt;&gt;"",IF(AND(B3165&gt;=_TM1,B3165&lt;=_TM2,OR(TH!L3165="1111",TH!M3165="1111")),TH!D3165,""),"")</f>
        <v/>
      </c>
      <c r="B3165" s="896">
        <f t="shared" si="165"/>
        <v>6</v>
      </c>
      <c r="C3165" s="897">
        <f t="shared" si="166"/>
        <v>42545</v>
      </c>
      <c r="D3165" s="897" t="s">
        <v>1580</v>
      </c>
      <c r="E3165" s="869">
        <v>42545</v>
      </c>
      <c r="F3165" s="967" t="s">
        <v>459</v>
      </c>
      <c r="G3165" s="871" t="s">
        <v>629</v>
      </c>
      <c r="H3165" s="965" t="s">
        <v>1328</v>
      </c>
      <c r="I3165" s="254">
        <v>628</v>
      </c>
      <c r="J3165" s="254">
        <v>10314.084583171796</v>
      </c>
      <c r="K3165" s="51">
        <f t="shared" si="167"/>
        <v>6477245</v>
      </c>
      <c r="L3165" s="966" t="s">
        <v>172</v>
      </c>
      <c r="M3165" s="966" t="s">
        <v>167</v>
      </c>
      <c r="N3165" s="52" t="str">
        <f>IF(AND('331-CT'!$E$7=TH!H3165,OR(L3165="331",M3165="331")),"331",IF(AND(OR(L3165="131",M3165="131"),H3165='131-CT'!$E$7),"131",""))</f>
        <v/>
      </c>
      <c r="O3165" s="857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65"/>
    </row>
    <row r="3166" spans="1:28" s="900" customFormat="1" ht="15.75" customHeight="1">
      <c r="A3166" s="895" t="str">
        <f>IF(B3166&lt;&gt;"",IF(AND(B3166&gt;=_TM1,B3166&lt;=_TM2,OR(TH!L3166="1111",TH!M3166="1111")),TH!D3166,""),"")</f>
        <v/>
      </c>
      <c r="B3166" s="896">
        <f t="shared" si="165"/>
        <v>6</v>
      </c>
      <c r="C3166" s="897">
        <f t="shared" si="166"/>
        <v>42545</v>
      </c>
      <c r="D3166" s="897" t="s">
        <v>1580</v>
      </c>
      <c r="E3166" s="869">
        <v>42545</v>
      </c>
      <c r="F3166" s="967" t="s">
        <v>1468</v>
      </c>
      <c r="G3166" s="871" t="s">
        <v>630</v>
      </c>
      <c r="H3166" s="965" t="s">
        <v>1328</v>
      </c>
      <c r="I3166" s="254">
        <v>3000</v>
      </c>
      <c r="J3166" s="254">
        <v>3324.3743697826449</v>
      </c>
      <c r="K3166" s="51">
        <f t="shared" si="167"/>
        <v>9973123</v>
      </c>
      <c r="L3166" s="966" t="s">
        <v>172</v>
      </c>
      <c r="M3166" s="966" t="s">
        <v>167</v>
      </c>
      <c r="N3166" s="52" t="str">
        <f>IF(AND('331-CT'!$E$7=TH!H3166,OR(L3166="331",M3166="331")),"331",IF(AND(OR(L3166="131",M3166="131"),H3166='131-CT'!$E$7),"131",""))</f>
        <v/>
      </c>
      <c r="O3166" s="857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65"/>
    </row>
    <row r="3167" spans="1:28" s="900" customFormat="1" ht="15.75" customHeight="1">
      <c r="A3167" s="895" t="str">
        <f>IF(B3167&lt;&gt;"",IF(AND(B3167&gt;=_TM1,B3167&lt;=_TM2,OR(TH!L3167="1111",TH!M3167="1111")),TH!D3167,""),"")</f>
        <v/>
      </c>
      <c r="B3167" s="896">
        <f t="shared" si="165"/>
        <v>6</v>
      </c>
      <c r="C3167" s="897">
        <f t="shared" si="166"/>
        <v>42548</v>
      </c>
      <c r="D3167" s="897" t="s">
        <v>1580</v>
      </c>
      <c r="E3167" s="869">
        <v>42548</v>
      </c>
      <c r="F3167" s="967" t="s">
        <v>466</v>
      </c>
      <c r="G3167" s="871" t="s">
        <v>631</v>
      </c>
      <c r="H3167" s="965" t="s">
        <v>1328</v>
      </c>
      <c r="I3167" s="254">
        <v>509</v>
      </c>
      <c r="J3167" s="254">
        <v>5796.3450550056377</v>
      </c>
      <c r="K3167" s="51">
        <f t="shared" si="167"/>
        <v>2950340</v>
      </c>
      <c r="L3167" s="966" t="s">
        <v>172</v>
      </c>
      <c r="M3167" s="966" t="s">
        <v>167</v>
      </c>
      <c r="N3167" s="52" t="str">
        <f>IF(AND('331-CT'!$E$7=TH!H3167,OR(L3167="331",M3167="331")),"331",IF(AND(OR(L3167="131",M3167="131"),H3167='131-CT'!$E$7),"131",""))</f>
        <v/>
      </c>
      <c r="O3167" s="857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65"/>
    </row>
    <row r="3168" spans="1:28" s="900" customFormat="1" ht="15.75" customHeight="1">
      <c r="A3168" s="895" t="str">
        <f>IF(B3168&lt;&gt;"",IF(AND(B3168&gt;=_TM1,B3168&lt;=_TM2,OR(TH!L3168="1111",TH!M3168="1111")),TH!D3168,""),"")</f>
        <v/>
      </c>
      <c r="B3168" s="896">
        <f t="shared" si="165"/>
        <v>6</v>
      </c>
      <c r="C3168" s="897">
        <f t="shared" si="166"/>
        <v>42548</v>
      </c>
      <c r="D3168" s="897" t="s">
        <v>1580</v>
      </c>
      <c r="E3168" s="869">
        <v>42548</v>
      </c>
      <c r="F3168" s="967" t="s">
        <v>466</v>
      </c>
      <c r="G3168" s="871" t="s">
        <v>631</v>
      </c>
      <c r="H3168" s="965" t="s">
        <v>1328</v>
      </c>
      <c r="I3168" s="254">
        <v>1104</v>
      </c>
      <c r="J3168" s="254">
        <v>5796.3450550056377</v>
      </c>
      <c r="K3168" s="51">
        <f t="shared" si="167"/>
        <v>6399165</v>
      </c>
      <c r="L3168" s="966" t="s">
        <v>172</v>
      </c>
      <c r="M3168" s="966" t="s">
        <v>167</v>
      </c>
      <c r="N3168" s="52" t="str">
        <f>IF(AND('331-CT'!$E$7=TH!H3168,OR(L3168="331",M3168="331")),"331",IF(AND(OR(L3168="131",M3168="131"),H3168='131-CT'!$E$7),"131",""))</f>
        <v/>
      </c>
      <c r="O3168" s="857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65"/>
    </row>
    <row r="3169" spans="1:28" s="900" customFormat="1" ht="15.75" customHeight="1">
      <c r="A3169" s="895" t="str">
        <f>IF(B3169&lt;&gt;"",IF(AND(B3169&gt;=_TM1,B3169&lt;=_TM2,OR(TH!L3169="1111",TH!M3169="1111")),TH!D3169,""),"")</f>
        <v/>
      </c>
      <c r="B3169" s="896">
        <f t="shared" si="165"/>
        <v>6</v>
      </c>
      <c r="C3169" s="897">
        <f t="shared" si="166"/>
        <v>42548</v>
      </c>
      <c r="D3169" s="897" t="s">
        <v>1580</v>
      </c>
      <c r="E3169" s="869">
        <v>42548</v>
      </c>
      <c r="F3169" s="967" t="s">
        <v>1474</v>
      </c>
      <c r="G3169" s="871" t="s">
        <v>632</v>
      </c>
      <c r="H3169" s="965" t="s">
        <v>1328</v>
      </c>
      <c r="I3169" s="254">
        <v>522</v>
      </c>
      <c r="J3169" s="254">
        <v>8097.8350033166989</v>
      </c>
      <c r="K3169" s="51">
        <f t="shared" si="167"/>
        <v>4227070</v>
      </c>
      <c r="L3169" s="966" t="s">
        <v>172</v>
      </c>
      <c r="M3169" s="966" t="s">
        <v>167</v>
      </c>
      <c r="N3169" s="52" t="str">
        <f>IF(AND('331-CT'!$E$7=TH!H3169,OR(L3169="331",M3169="331")),"331",IF(AND(OR(L3169="131",M3169="131"),H3169='131-CT'!$E$7),"131",""))</f>
        <v/>
      </c>
      <c r="O3169" s="857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65"/>
    </row>
    <row r="3170" spans="1:28" s="900" customFormat="1" ht="15.75" customHeight="1">
      <c r="A3170" s="895" t="str">
        <f>IF(B3170&lt;&gt;"",IF(AND(B3170&gt;=_TM1,B3170&lt;=_TM2,OR(TH!L3170="1111",TH!M3170="1111")),TH!D3170,""),"")</f>
        <v/>
      </c>
      <c r="B3170" s="896">
        <f t="shared" si="165"/>
        <v>6</v>
      </c>
      <c r="C3170" s="897">
        <f t="shared" si="166"/>
        <v>42549</v>
      </c>
      <c r="D3170" s="897" t="s">
        <v>1580</v>
      </c>
      <c r="E3170" s="869">
        <v>42549</v>
      </c>
      <c r="F3170" s="967" t="s">
        <v>419</v>
      </c>
      <c r="G3170" s="871" t="s">
        <v>1092</v>
      </c>
      <c r="H3170" s="965" t="s">
        <v>1328</v>
      </c>
      <c r="I3170" s="254">
        <v>1300</v>
      </c>
      <c r="J3170" s="254">
        <v>6989.7102133891503</v>
      </c>
      <c r="K3170" s="51">
        <f t="shared" si="167"/>
        <v>9086623</v>
      </c>
      <c r="L3170" s="966" t="s">
        <v>172</v>
      </c>
      <c r="M3170" s="966" t="s">
        <v>167</v>
      </c>
      <c r="N3170" s="52" t="str">
        <f>IF(AND('331-CT'!$E$7=TH!H3170,OR(L3170="331",M3170="331")),"331",IF(AND(OR(L3170="131",M3170="131"),H3170='131-CT'!$E$7),"131",""))</f>
        <v/>
      </c>
      <c r="O3170" s="857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65"/>
    </row>
    <row r="3171" spans="1:28" s="900" customFormat="1" ht="15.75" customHeight="1">
      <c r="A3171" s="895" t="str">
        <f>IF(B3171&lt;&gt;"",IF(AND(B3171&gt;=_TM1,B3171&lt;=_TM2,OR(TH!L3171="1111",TH!M3171="1111")),TH!D3171,""),"")</f>
        <v/>
      </c>
      <c r="B3171" s="896">
        <f t="shared" si="165"/>
        <v>6</v>
      </c>
      <c r="C3171" s="897">
        <f t="shared" si="166"/>
        <v>42549</v>
      </c>
      <c r="D3171" s="897" t="s">
        <v>1580</v>
      </c>
      <c r="E3171" s="869">
        <v>42549</v>
      </c>
      <c r="F3171" s="967" t="s">
        <v>422</v>
      </c>
      <c r="G3171" s="871" t="s">
        <v>1092</v>
      </c>
      <c r="H3171" s="965" t="s">
        <v>1328</v>
      </c>
      <c r="I3171" s="254">
        <v>338</v>
      </c>
      <c r="J3171" s="254">
        <v>8268.3157402286288</v>
      </c>
      <c r="K3171" s="51">
        <f t="shared" si="167"/>
        <v>2794691</v>
      </c>
      <c r="L3171" s="966" t="s">
        <v>172</v>
      </c>
      <c r="M3171" s="966" t="s">
        <v>167</v>
      </c>
      <c r="N3171" s="52" t="str">
        <f>IF(AND('331-CT'!$E$7=TH!H3171,OR(L3171="331",M3171="331")),"331",IF(AND(OR(L3171="131",M3171="131"),H3171='131-CT'!$E$7),"131",""))</f>
        <v/>
      </c>
      <c r="O3171" s="857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65"/>
    </row>
    <row r="3172" spans="1:28" s="900" customFormat="1" ht="15.75" customHeight="1">
      <c r="A3172" s="895" t="str">
        <f>IF(B3172&lt;&gt;"",IF(AND(B3172&gt;=_TM1,B3172&lt;=_TM2,OR(TH!L3172="1111",TH!M3172="1111")),TH!D3172,""),"")</f>
        <v/>
      </c>
      <c r="B3172" s="896">
        <f t="shared" si="165"/>
        <v>6</v>
      </c>
      <c r="C3172" s="897">
        <f t="shared" si="166"/>
        <v>42549</v>
      </c>
      <c r="D3172" s="897" t="s">
        <v>1580</v>
      </c>
      <c r="E3172" s="869">
        <v>42549</v>
      </c>
      <c r="F3172" s="967" t="s">
        <v>656</v>
      </c>
      <c r="G3172" s="871" t="s">
        <v>1092</v>
      </c>
      <c r="H3172" s="965" t="s">
        <v>1328</v>
      </c>
      <c r="I3172" s="254">
        <v>316</v>
      </c>
      <c r="J3172" s="254">
        <v>12615.574531482858</v>
      </c>
      <c r="K3172" s="51">
        <f t="shared" si="167"/>
        <v>3986522</v>
      </c>
      <c r="L3172" s="966" t="s">
        <v>172</v>
      </c>
      <c r="M3172" s="966" t="s">
        <v>167</v>
      </c>
      <c r="N3172" s="52" t="str">
        <f>IF(AND('331-CT'!$E$7=TH!H3172,OR(L3172="331",M3172="331")),"331",IF(AND(OR(L3172="131",M3172="131"),H3172='131-CT'!$E$7),"131",""))</f>
        <v/>
      </c>
      <c r="O3172" s="857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65"/>
    </row>
    <row r="3173" spans="1:28" s="900" customFormat="1" ht="15.75" customHeight="1">
      <c r="A3173" s="895" t="str">
        <f>IF(B3173&lt;&gt;"",IF(AND(B3173&gt;=_TM1,B3173&lt;=_TM2,OR(TH!L3173="1111",TH!M3173="1111")),TH!D3173,""),"")</f>
        <v/>
      </c>
      <c r="B3173" s="896">
        <f t="shared" si="165"/>
        <v>6</v>
      </c>
      <c r="C3173" s="897">
        <f t="shared" si="166"/>
        <v>42550</v>
      </c>
      <c r="D3173" s="897" t="s">
        <v>1580</v>
      </c>
      <c r="E3173" s="869">
        <v>42550</v>
      </c>
      <c r="F3173" s="967" t="s">
        <v>1093</v>
      </c>
      <c r="G3173" s="871" t="s">
        <v>633</v>
      </c>
      <c r="H3173" s="965" t="s">
        <v>1328</v>
      </c>
      <c r="I3173" s="254">
        <v>71</v>
      </c>
      <c r="J3173" s="254">
        <v>5966.8257919175676</v>
      </c>
      <c r="K3173" s="51">
        <f t="shared" si="167"/>
        <v>423645</v>
      </c>
      <c r="L3173" s="966" t="s">
        <v>172</v>
      </c>
      <c r="M3173" s="966" t="s">
        <v>167</v>
      </c>
      <c r="N3173" s="52" t="str">
        <f>IF(AND('331-CT'!$E$7=TH!H3173,OR(L3173="331",M3173="331")),"331",IF(AND(OR(L3173="131",M3173="131"),H3173='131-CT'!$E$7),"131",""))</f>
        <v/>
      </c>
      <c r="O3173" s="857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65"/>
    </row>
    <row r="3174" spans="1:28" s="900" customFormat="1" ht="15.75" customHeight="1">
      <c r="A3174" s="895" t="str">
        <f>IF(B3174&lt;&gt;"",IF(AND(B3174&gt;=_TM1,B3174&lt;=_TM2,OR(TH!L3174="1111",TH!M3174="1111")),TH!D3174,""),"")</f>
        <v/>
      </c>
      <c r="B3174" s="896">
        <f t="shared" si="165"/>
        <v>6</v>
      </c>
      <c r="C3174" s="897">
        <f t="shared" si="166"/>
        <v>42550</v>
      </c>
      <c r="D3174" s="897" t="s">
        <v>1580</v>
      </c>
      <c r="E3174" s="869">
        <v>42550</v>
      </c>
      <c r="F3174" s="967" t="s">
        <v>1060</v>
      </c>
      <c r="G3174" s="871" t="s">
        <v>633</v>
      </c>
      <c r="H3174" s="965" t="s">
        <v>1328</v>
      </c>
      <c r="I3174" s="254">
        <v>535</v>
      </c>
      <c r="J3174" s="254">
        <v>4773.460633534055</v>
      </c>
      <c r="K3174" s="51">
        <f t="shared" si="167"/>
        <v>2553801</v>
      </c>
      <c r="L3174" s="966" t="s">
        <v>172</v>
      </c>
      <c r="M3174" s="966" t="s">
        <v>167</v>
      </c>
      <c r="N3174" s="52" t="str">
        <f>IF(AND('331-CT'!$E$7=TH!H3174,OR(L3174="331",M3174="331")),"331",IF(AND(OR(L3174="131",M3174="131"),H3174='131-CT'!$E$7),"131",""))</f>
        <v/>
      </c>
      <c r="O3174" s="857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65"/>
    </row>
    <row r="3175" spans="1:28" s="900" customFormat="1" ht="15.75" customHeight="1">
      <c r="A3175" s="895" t="str">
        <f>IF(B3175&lt;&gt;"",IF(AND(B3175&gt;=_TM1,B3175&lt;=_TM2,OR(TH!L3175="1111",TH!M3175="1111")),TH!D3175,""),"")</f>
        <v/>
      </c>
      <c r="B3175" s="896">
        <f t="shared" si="165"/>
        <v>6</v>
      </c>
      <c r="C3175" s="897">
        <f t="shared" si="166"/>
        <v>42550</v>
      </c>
      <c r="D3175" s="897" t="s">
        <v>1580</v>
      </c>
      <c r="E3175" s="869">
        <v>42550</v>
      </c>
      <c r="F3175" s="967" t="s">
        <v>1094</v>
      </c>
      <c r="G3175" s="871" t="s">
        <v>633</v>
      </c>
      <c r="H3175" s="965" t="s">
        <v>1328</v>
      </c>
      <c r="I3175" s="254">
        <v>333</v>
      </c>
      <c r="J3175" s="254">
        <v>4006.2973174303665</v>
      </c>
      <c r="K3175" s="51">
        <f t="shared" si="167"/>
        <v>1334097</v>
      </c>
      <c r="L3175" s="966" t="s">
        <v>172</v>
      </c>
      <c r="M3175" s="966" t="s">
        <v>167</v>
      </c>
      <c r="N3175" s="52" t="str">
        <f>IF(AND('331-CT'!$E$7=TH!H3175,OR(L3175="331",M3175="331")),"331",IF(AND(OR(L3175="131",M3175="131"),H3175='131-CT'!$E$7),"131",""))</f>
        <v/>
      </c>
      <c r="O3175" s="857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65"/>
    </row>
    <row r="3176" spans="1:28" s="900" customFormat="1" ht="15.75" customHeight="1">
      <c r="A3176" s="895" t="str">
        <f>IF(B3176&lt;&gt;"",IF(AND(B3176&gt;=_TM1,B3176&lt;=_TM2,OR(TH!L3176="1111",TH!M3176="1111")),TH!D3176,""),"")</f>
        <v/>
      </c>
      <c r="B3176" s="896">
        <f t="shared" si="165"/>
        <v>6</v>
      </c>
      <c r="C3176" s="897">
        <f t="shared" si="166"/>
        <v>42550</v>
      </c>
      <c r="D3176" s="897" t="s">
        <v>1580</v>
      </c>
      <c r="E3176" s="869">
        <v>42550</v>
      </c>
      <c r="F3176" s="967" t="s">
        <v>675</v>
      </c>
      <c r="G3176" s="871" t="s">
        <v>1095</v>
      </c>
      <c r="H3176" s="965" t="s">
        <v>1328</v>
      </c>
      <c r="I3176" s="254">
        <v>1055</v>
      </c>
      <c r="J3176" s="254">
        <v>9717.402003980038</v>
      </c>
      <c r="K3176" s="51">
        <f t="shared" si="167"/>
        <v>10251859</v>
      </c>
      <c r="L3176" s="966" t="s">
        <v>172</v>
      </c>
      <c r="M3176" s="966" t="s">
        <v>167</v>
      </c>
      <c r="N3176" s="52" t="str">
        <f>IF(AND('331-CT'!$E$7=TH!H3176,OR(L3176="331",M3176="331")),"331",IF(AND(OR(L3176="131",M3176="131"),H3176='131-CT'!$E$7),"131",""))</f>
        <v/>
      </c>
      <c r="O3176" s="857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65"/>
    </row>
    <row r="3177" spans="1:28" s="900" customFormat="1" ht="15.75" customHeight="1">
      <c r="A3177" s="895" t="str">
        <f>IF(B3177&lt;&gt;"",IF(AND(B3177&gt;=_TM1,B3177&lt;=_TM2,OR(TH!L3177="1111",TH!M3177="1111")),TH!D3177,""),"")</f>
        <v/>
      </c>
      <c r="B3177" s="896">
        <f t="shared" si="165"/>
        <v>6</v>
      </c>
      <c r="C3177" s="897">
        <f t="shared" si="166"/>
        <v>42550</v>
      </c>
      <c r="D3177" s="897" t="s">
        <v>1580</v>
      </c>
      <c r="E3177" s="869">
        <v>42550</v>
      </c>
      <c r="F3177" s="967" t="s">
        <v>675</v>
      </c>
      <c r="G3177" s="871" t="s">
        <v>1095</v>
      </c>
      <c r="H3177" s="965" t="s">
        <v>1328</v>
      </c>
      <c r="I3177" s="254">
        <v>100</v>
      </c>
      <c r="J3177" s="254">
        <v>9717.402003980038</v>
      </c>
      <c r="K3177" s="51">
        <f t="shared" si="167"/>
        <v>971740</v>
      </c>
      <c r="L3177" s="966" t="s">
        <v>172</v>
      </c>
      <c r="M3177" s="966" t="s">
        <v>167</v>
      </c>
      <c r="N3177" s="52" t="str">
        <f>IF(AND('331-CT'!$E$7=TH!H3177,OR(L3177="331",M3177="331")),"331",IF(AND(OR(L3177="131",M3177="131"),H3177='131-CT'!$E$7),"131",""))</f>
        <v/>
      </c>
      <c r="O3177" s="857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65"/>
    </row>
    <row r="3178" spans="1:28" s="900" customFormat="1" ht="15.75" customHeight="1">
      <c r="A3178" s="895" t="str">
        <f>IF(B3178&lt;&gt;"",IF(AND(B3178&gt;=_TM1,B3178&lt;=_TM2,OR(TH!L3178="1111",TH!M3178="1111")),TH!D3178,""),"")</f>
        <v/>
      </c>
      <c r="B3178" s="896">
        <f t="shared" si="165"/>
        <v>6</v>
      </c>
      <c r="C3178" s="897">
        <f t="shared" si="166"/>
        <v>42550</v>
      </c>
      <c r="D3178" s="897" t="s">
        <v>1580</v>
      </c>
      <c r="E3178" s="869">
        <v>42550</v>
      </c>
      <c r="F3178" s="967" t="s">
        <v>723</v>
      </c>
      <c r="G3178" s="871" t="s">
        <v>1095</v>
      </c>
      <c r="H3178" s="965" t="s">
        <v>1328</v>
      </c>
      <c r="I3178" s="254">
        <v>2000</v>
      </c>
      <c r="J3178" s="254">
        <v>767.16331610368729</v>
      </c>
      <c r="K3178" s="51">
        <f t="shared" si="167"/>
        <v>1534327</v>
      </c>
      <c r="L3178" s="966" t="s">
        <v>172</v>
      </c>
      <c r="M3178" s="966" t="s">
        <v>167</v>
      </c>
      <c r="N3178" s="52" t="str">
        <f>IF(AND('331-CT'!$E$7=TH!H3178,OR(L3178="331",M3178="331")),"331",IF(AND(OR(L3178="131",M3178="131"),H3178='131-CT'!$E$7),"131",""))</f>
        <v/>
      </c>
      <c r="O3178" s="857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65"/>
    </row>
    <row r="3179" spans="1:28" s="900" customFormat="1" ht="15.75" customHeight="1">
      <c r="A3179" s="895" t="str">
        <f>IF(B3179&lt;&gt;"",IF(AND(B3179&gt;=_TM1,B3179&lt;=_TM2,OR(TH!L3179="1111",TH!M3179="1111")),TH!D3179,""),"")</f>
        <v/>
      </c>
      <c r="B3179" s="896">
        <f t="shared" si="165"/>
        <v>6</v>
      </c>
      <c r="C3179" s="897">
        <f t="shared" si="166"/>
        <v>42550</v>
      </c>
      <c r="D3179" s="897" t="s">
        <v>1580</v>
      </c>
      <c r="E3179" s="869">
        <v>42550</v>
      </c>
      <c r="F3179" s="967" t="s">
        <v>1275</v>
      </c>
      <c r="G3179" s="871" t="s">
        <v>634</v>
      </c>
      <c r="H3179" s="965" t="s">
        <v>1328</v>
      </c>
      <c r="I3179" s="254">
        <v>200</v>
      </c>
      <c r="J3179" s="254">
        <v>15002.304848249885</v>
      </c>
      <c r="K3179" s="51">
        <f t="shared" si="167"/>
        <v>3000461</v>
      </c>
      <c r="L3179" s="966" t="s">
        <v>172</v>
      </c>
      <c r="M3179" s="966" t="s">
        <v>167</v>
      </c>
      <c r="N3179" s="52" t="str">
        <f>IF(AND('331-CT'!$E$7=TH!H3179,OR(L3179="331",M3179="331")),"331",IF(AND(OR(L3179="131",M3179="131"),H3179='131-CT'!$E$7),"131",""))</f>
        <v/>
      </c>
      <c r="O3179" s="857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65"/>
    </row>
    <row r="3180" spans="1:28" s="900" customFormat="1" ht="15.75" customHeight="1">
      <c r="A3180" s="895" t="str">
        <f>IF(B3180&lt;&gt;"",IF(AND(B3180&gt;=_TM1,B3180&lt;=_TM2,OR(TH!L3180="1111",TH!M3180="1111")),TH!D3180,""),"")</f>
        <v/>
      </c>
      <c r="B3180" s="896">
        <f t="shared" si="165"/>
        <v>6</v>
      </c>
      <c r="C3180" s="897">
        <f t="shared" si="166"/>
        <v>42550</v>
      </c>
      <c r="D3180" s="897" t="s">
        <v>1580</v>
      </c>
      <c r="E3180" s="869">
        <v>42550</v>
      </c>
      <c r="F3180" s="967" t="s">
        <v>1096</v>
      </c>
      <c r="G3180" s="871" t="s">
        <v>635</v>
      </c>
      <c r="H3180" s="965" t="s">
        <v>1328</v>
      </c>
      <c r="I3180" s="254">
        <v>1320</v>
      </c>
      <c r="J3180" s="254">
        <v>9887.8827408919697</v>
      </c>
      <c r="K3180" s="51">
        <f t="shared" si="167"/>
        <v>13052005</v>
      </c>
      <c r="L3180" s="966" t="s">
        <v>172</v>
      </c>
      <c r="M3180" s="966" t="s">
        <v>167</v>
      </c>
      <c r="N3180" s="52" t="str">
        <f>IF(AND('331-CT'!$E$7=TH!H3180,OR(L3180="331",M3180="331")),"331",IF(AND(OR(L3180="131",M3180="131"),H3180='131-CT'!$E$7),"131",""))</f>
        <v/>
      </c>
      <c r="O3180" s="857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65"/>
    </row>
    <row r="3181" spans="1:28" s="900" customFormat="1" ht="15.75" customHeight="1">
      <c r="A3181" s="895" t="str">
        <f>IF(B3181&lt;&gt;"",IF(AND(B3181&gt;=_TM1,B3181&lt;=_TM2,OR(TH!L3181="1111",TH!M3181="1111")),TH!D3181,""),"")</f>
        <v/>
      </c>
      <c r="B3181" s="896">
        <f t="shared" si="165"/>
        <v>6</v>
      </c>
      <c r="C3181" s="897">
        <f t="shared" si="166"/>
        <v>42550</v>
      </c>
      <c r="D3181" s="897" t="s">
        <v>1580</v>
      </c>
      <c r="E3181" s="869">
        <v>42550</v>
      </c>
      <c r="F3181" s="967" t="s">
        <v>1097</v>
      </c>
      <c r="G3181" s="871" t="s">
        <v>635</v>
      </c>
      <c r="H3181" s="965" t="s">
        <v>1328</v>
      </c>
      <c r="I3181" s="254">
        <v>320</v>
      </c>
      <c r="J3181" s="254">
        <v>11848.41121537917</v>
      </c>
      <c r="K3181" s="51">
        <f t="shared" si="167"/>
        <v>3791492</v>
      </c>
      <c r="L3181" s="966" t="s">
        <v>172</v>
      </c>
      <c r="M3181" s="966" t="s">
        <v>167</v>
      </c>
      <c r="N3181" s="52" t="str">
        <f>IF(AND('331-CT'!$E$7=TH!H3181,OR(L3181="331",M3181="331")),"331",IF(AND(OR(L3181="131",M3181="131"),H3181='131-CT'!$E$7),"131",""))</f>
        <v/>
      </c>
      <c r="O3181" s="857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65"/>
    </row>
    <row r="3182" spans="1:28" s="900" customFormat="1" ht="15.75" customHeight="1">
      <c r="A3182" s="895" t="str">
        <f>IF(B3182&lt;&gt;"",IF(AND(B3182&gt;=_TM1,B3182&lt;=_TM2,OR(TH!L3182="1111",TH!M3182="1111")),TH!D3182,""),"")</f>
        <v/>
      </c>
      <c r="B3182" s="896">
        <f t="shared" si="165"/>
        <v>6</v>
      </c>
      <c r="C3182" s="897">
        <f t="shared" si="166"/>
        <v>42550</v>
      </c>
      <c r="D3182" s="897" t="s">
        <v>1580</v>
      </c>
      <c r="E3182" s="869">
        <v>42550</v>
      </c>
      <c r="F3182" s="967" t="s">
        <v>1098</v>
      </c>
      <c r="G3182" s="871" t="s">
        <v>635</v>
      </c>
      <c r="H3182" s="965" t="s">
        <v>1328</v>
      </c>
      <c r="I3182" s="254">
        <v>28</v>
      </c>
      <c r="J3182" s="254">
        <v>11933.651583835135</v>
      </c>
      <c r="K3182" s="51">
        <f t="shared" si="167"/>
        <v>334142</v>
      </c>
      <c r="L3182" s="966" t="s">
        <v>172</v>
      </c>
      <c r="M3182" s="966" t="s">
        <v>167</v>
      </c>
      <c r="N3182" s="52" t="str">
        <f>IF(AND('331-CT'!$E$7=TH!H3182,OR(L3182="331",M3182="331")),"331",IF(AND(OR(L3182="131",M3182="131"),H3182='131-CT'!$E$7),"131",""))</f>
        <v/>
      </c>
      <c r="O3182" s="857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65"/>
    </row>
    <row r="3183" spans="1:28" s="900" customFormat="1" ht="15.75" customHeight="1">
      <c r="A3183" s="895" t="str">
        <f>IF(B3183&lt;&gt;"",IF(AND(B3183&gt;=_TM1,B3183&lt;=_TM2,OR(TH!L3183="1111",TH!M3183="1111")),TH!D3183,""),"")</f>
        <v/>
      </c>
      <c r="B3183" s="896">
        <f t="shared" si="165"/>
        <v>6</v>
      </c>
      <c r="C3183" s="897">
        <f t="shared" si="166"/>
        <v>42550</v>
      </c>
      <c r="D3183" s="897" t="s">
        <v>1580</v>
      </c>
      <c r="E3183" s="869">
        <v>42550</v>
      </c>
      <c r="F3183" s="967" t="s">
        <v>990</v>
      </c>
      <c r="G3183" s="871" t="s">
        <v>635</v>
      </c>
      <c r="H3183" s="965" t="s">
        <v>1328</v>
      </c>
      <c r="I3183" s="254">
        <v>245</v>
      </c>
      <c r="J3183" s="254">
        <v>10996.007530819517</v>
      </c>
      <c r="K3183" s="51">
        <f t="shared" si="167"/>
        <v>2694022</v>
      </c>
      <c r="L3183" s="966" t="s">
        <v>172</v>
      </c>
      <c r="M3183" s="966" t="s">
        <v>167</v>
      </c>
      <c r="N3183" s="52" t="str">
        <f>IF(AND('331-CT'!$E$7=TH!H3183,OR(L3183="331",M3183="331")),"331",IF(AND(OR(L3183="131",M3183="131"),H3183='131-CT'!$E$7),"131",""))</f>
        <v/>
      </c>
      <c r="O3183" s="857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65"/>
    </row>
    <row r="3184" spans="1:28" s="900" customFormat="1" ht="15.75" customHeight="1">
      <c r="A3184" s="895" t="str">
        <f>IF(B3184&lt;&gt;"",IF(AND(B3184&gt;=_TM1,B3184&lt;=_TM2,OR(TH!L3184="1111",TH!M3184="1111")),TH!D3184,""),"")</f>
        <v/>
      </c>
      <c r="B3184" s="896">
        <f t="shared" si="165"/>
        <v>6</v>
      </c>
      <c r="C3184" s="897">
        <f t="shared" si="166"/>
        <v>42550</v>
      </c>
      <c r="D3184" s="897" t="s">
        <v>1580</v>
      </c>
      <c r="E3184" s="869">
        <v>42550</v>
      </c>
      <c r="F3184" s="967" t="s">
        <v>1018</v>
      </c>
      <c r="G3184" s="871" t="s">
        <v>635</v>
      </c>
      <c r="H3184" s="965" t="s">
        <v>1328</v>
      </c>
      <c r="I3184" s="254">
        <v>52</v>
      </c>
      <c r="J3184" s="254">
        <v>10228.844214715829</v>
      </c>
      <c r="K3184" s="51">
        <f t="shared" si="167"/>
        <v>531900</v>
      </c>
      <c r="L3184" s="966" t="s">
        <v>172</v>
      </c>
      <c r="M3184" s="966" t="s">
        <v>167</v>
      </c>
      <c r="N3184" s="52" t="str">
        <f>IF(AND('331-CT'!$E$7=TH!H3184,OR(L3184="331",M3184="331")),"331",IF(AND(OR(L3184="131",M3184="131"),H3184='131-CT'!$E$7),"131",""))</f>
        <v/>
      </c>
      <c r="O3184" s="857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/>
      </c>
      <c r="AB3184" s="765"/>
    </row>
    <row r="3185" spans="1:28" s="900" customFormat="1" ht="15.75" customHeight="1">
      <c r="A3185" s="895" t="str">
        <f>IF(B3185&lt;&gt;"",IF(AND(B3185&gt;=_TM1,B3185&lt;=_TM2,OR(TH!L3185="1111",TH!M3185="1111")),TH!D3185,""),"")</f>
        <v/>
      </c>
      <c r="B3185" s="896">
        <f t="shared" si="165"/>
        <v>6</v>
      </c>
      <c r="C3185" s="897">
        <f t="shared" si="166"/>
        <v>42550</v>
      </c>
      <c r="D3185" s="897" t="s">
        <v>1580</v>
      </c>
      <c r="E3185" s="869">
        <v>42550</v>
      </c>
      <c r="F3185" s="967" t="s">
        <v>657</v>
      </c>
      <c r="G3185" s="871" t="s">
        <v>636</v>
      </c>
      <c r="H3185" s="965" t="s">
        <v>1328</v>
      </c>
      <c r="I3185" s="254">
        <v>410</v>
      </c>
      <c r="J3185" s="254">
        <v>6393.027634197394</v>
      </c>
      <c r="K3185" s="51">
        <f t="shared" si="167"/>
        <v>2621141</v>
      </c>
      <c r="L3185" s="966" t="s">
        <v>172</v>
      </c>
      <c r="M3185" s="966" t="s">
        <v>167</v>
      </c>
      <c r="N3185" s="52" t="str">
        <f>IF(AND('331-CT'!$E$7=TH!H3185,OR(L3185="331",M3185="331")),"331",IF(AND(OR(L3185="131",M3185="131"),H3185='131-CT'!$E$7),"131",""))</f>
        <v/>
      </c>
      <c r="O3185" s="857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/>
      </c>
      <c r="AB3185" s="765"/>
    </row>
    <row r="3186" spans="1:28" s="900" customFormat="1" ht="15.75" customHeight="1">
      <c r="A3186" s="895" t="str">
        <f>IF(B3186&lt;&gt;"",IF(AND(B3186&gt;=_TM1,B3186&lt;=_TM2,OR(TH!L3186="1111",TH!M3186="1111")),TH!D3186,""),"")</f>
        <v/>
      </c>
      <c r="B3186" s="896">
        <f t="shared" si="165"/>
        <v>6</v>
      </c>
      <c r="C3186" s="897">
        <f t="shared" si="166"/>
        <v>42550</v>
      </c>
      <c r="D3186" s="897" t="s">
        <v>1580</v>
      </c>
      <c r="E3186" s="869">
        <v>42550</v>
      </c>
      <c r="F3186" s="967" t="s">
        <v>1470</v>
      </c>
      <c r="G3186" s="871" t="s">
        <v>638</v>
      </c>
      <c r="H3186" s="965" t="s">
        <v>1328</v>
      </c>
      <c r="I3186" s="254">
        <v>800</v>
      </c>
      <c r="J3186" s="254">
        <v>6989.7102133891503</v>
      </c>
      <c r="K3186" s="51">
        <f t="shared" si="167"/>
        <v>5591768</v>
      </c>
      <c r="L3186" s="966" t="s">
        <v>172</v>
      </c>
      <c r="M3186" s="966" t="s">
        <v>167</v>
      </c>
      <c r="N3186" s="52" t="str">
        <f>IF(AND('331-CT'!$E$7=TH!H3186,OR(L3186="331",M3186="331")),"331",IF(AND(OR(L3186="131",M3186="131"),H3186='131-CT'!$E$7),"131",""))</f>
        <v/>
      </c>
      <c r="O3186" s="857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/>
      </c>
      <c r="AB3186" s="765"/>
    </row>
    <row r="3187" spans="1:28" s="900" customFormat="1" ht="15.75" customHeight="1">
      <c r="A3187" s="895" t="str">
        <f>IF(B3187&lt;&gt;"",IF(AND(B3187&gt;=_TM1,B3187&lt;=_TM2,OR(TH!L3187="1111",TH!M3187="1111")),TH!D3187,""),"")</f>
        <v/>
      </c>
      <c r="B3187" s="896">
        <f t="shared" si="165"/>
        <v>6</v>
      </c>
      <c r="C3187" s="897">
        <f t="shared" si="166"/>
        <v>42550</v>
      </c>
      <c r="D3187" s="897" t="s">
        <v>1580</v>
      </c>
      <c r="E3187" s="963">
        <v>42550</v>
      </c>
      <c r="F3187" s="967" t="s">
        <v>459</v>
      </c>
      <c r="G3187" s="871" t="s">
        <v>641</v>
      </c>
      <c r="H3187" s="965" t="s">
        <v>1328</v>
      </c>
      <c r="I3187" s="254">
        <v>628</v>
      </c>
      <c r="J3187" s="254">
        <v>10314.084583171796</v>
      </c>
      <c r="K3187" s="51">
        <f t="shared" si="167"/>
        <v>6477245</v>
      </c>
      <c r="L3187" s="966" t="s">
        <v>172</v>
      </c>
      <c r="M3187" s="966" t="s">
        <v>167</v>
      </c>
      <c r="N3187" s="52" t="str">
        <f>IF(AND('331-CT'!$E$7=TH!H3187,OR(L3187="331",M3187="331")),"331",IF(AND(OR(L3187="131",M3187="131"),H3187='131-CT'!$E$7),"131",""))</f>
        <v/>
      </c>
      <c r="O3187" s="857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/>
      </c>
      <c r="AB3187" s="765"/>
    </row>
    <row r="3188" spans="1:28" s="900" customFormat="1" ht="15.75" customHeight="1">
      <c r="A3188" s="895" t="str">
        <f>IF(B3188&lt;&gt;"",IF(AND(B3188&gt;=_TM1,B3188&lt;=_TM2,OR(TH!L3188="1111",TH!M3188="1111")),TH!D3188,""),"")</f>
        <v/>
      </c>
      <c r="B3188" s="896">
        <f t="shared" si="165"/>
        <v>6</v>
      </c>
      <c r="C3188" s="897">
        <f t="shared" si="166"/>
        <v>42550</v>
      </c>
      <c r="D3188" s="897" t="s">
        <v>1580</v>
      </c>
      <c r="E3188" s="963">
        <v>42550</v>
      </c>
      <c r="F3188" s="967" t="s">
        <v>1099</v>
      </c>
      <c r="G3188" s="871" t="s">
        <v>643</v>
      </c>
      <c r="H3188" s="965" t="s">
        <v>1328</v>
      </c>
      <c r="I3188" s="254">
        <v>53</v>
      </c>
      <c r="J3188" s="254">
        <v>72113.351713746611</v>
      </c>
      <c r="K3188" s="51">
        <f t="shared" si="167"/>
        <v>3822008</v>
      </c>
      <c r="L3188" s="966" t="s">
        <v>172</v>
      </c>
      <c r="M3188" s="966" t="s">
        <v>167</v>
      </c>
      <c r="N3188" s="52" t="str">
        <f>IF(AND('331-CT'!$E$7=TH!H3188,OR(L3188="331",M3188="331")),"331",IF(AND(OR(L3188="131",M3188="131"),H3188='131-CT'!$E$7),"131",""))</f>
        <v/>
      </c>
      <c r="O3188" s="857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/>
      </c>
      <c r="AB3188" s="765"/>
    </row>
    <row r="3189" spans="1:28" s="900" customFormat="1" ht="15.75" customHeight="1">
      <c r="A3189" s="895" t="str">
        <f>IF(B3189&lt;&gt;"",IF(AND(B3189&gt;=_TM1,B3189&lt;=_TM2,OR(TH!L3189="1111",TH!M3189="1111")),TH!D3189,""),"")</f>
        <v/>
      </c>
      <c r="B3189" s="896">
        <f t="shared" si="165"/>
        <v>6</v>
      </c>
      <c r="C3189" s="897">
        <f t="shared" si="166"/>
        <v>42550</v>
      </c>
      <c r="D3189" s="897" t="s">
        <v>1580</v>
      </c>
      <c r="E3189" s="963">
        <v>42550</v>
      </c>
      <c r="F3189" s="967" t="s">
        <v>448</v>
      </c>
      <c r="G3189" s="871" t="s">
        <v>643</v>
      </c>
      <c r="H3189" s="965" t="s">
        <v>1328</v>
      </c>
      <c r="I3189" s="254">
        <v>120</v>
      </c>
      <c r="J3189" s="254">
        <v>61799.267130574808</v>
      </c>
      <c r="K3189" s="51">
        <f t="shared" si="167"/>
        <v>7415912</v>
      </c>
      <c r="L3189" s="966" t="s">
        <v>172</v>
      </c>
      <c r="M3189" s="966" t="s">
        <v>167</v>
      </c>
      <c r="N3189" s="52" t="str">
        <f>IF(AND('331-CT'!$E$7=TH!H3189,OR(L3189="331",M3189="331")),"331",IF(AND(OR(L3189="131",M3189="131"),H3189='131-CT'!$E$7),"131",""))</f>
        <v/>
      </c>
      <c r="O3189" s="857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/>
      </c>
      <c r="AB3189" s="765"/>
    </row>
    <row r="3190" spans="1:28" s="900" customFormat="1" ht="15.75" customHeight="1">
      <c r="A3190" s="895" t="str">
        <f>IF(B3190&lt;&gt;"",IF(AND(B3190&gt;=_TM1,B3190&lt;=_TM2,OR(TH!L3190="1111",TH!M3190="1111")),TH!D3190,""),"")</f>
        <v/>
      </c>
      <c r="B3190" s="896">
        <f t="shared" si="165"/>
        <v>6</v>
      </c>
      <c r="C3190" s="897">
        <f t="shared" si="166"/>
        <v>42550</v>
      </c>
      <c r="D3190" s="897" t="s">
        <v>1580</v>
      </c>
      <c r="E3190" s="963">
        <v>42550</v>
      </c>
      <c r="F3190" s="967" t="s">
        <v>1100</v>
      </c>
      <c r="G3190" s="871" t="s">
        <v>643</v>
      </c>
      <c r="H3190" s="965" t="s">
        <v>1328</v>
      </c>
      <c r="I3190" s="254">
        <v>13</v>
      </c>
      <c r="J3190" s="254">
        <v>43728.309017910171</v>
      </c>
      <c r="K3190" s="51">
        <f t="shared" si="167"/>
        <v>568468</v>
      </c>
      <c r="L3190" s="966" t="s">
        <v>172</v>
      </c>
      <c r="M3190" s="966" t="s">
        <v>167</v>
      </c>
      <c r="N3190" s="52" t="str">
        <f>IF(AND('331-CT'!$E$7=TH!H3190,OR(L3190="331",M3190="331")),"331",IF(AND(OR(L3190="131",M3190="131"),H3190='131-CT'!$E$7),"131",""))</f>
        <v/>
      </c>
      <c r="O3190" s="857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/>
      </c>
      <c r="AB3190" s="765"/>
    </row>
    <row r="3191" spans="1:28" s="900" customFormat="1" ht="15.75" customHeight="1">
      <c r="A3191" s="895" t="str">
        <f>IF(B3191&lt;&gt;"",IF(AND(B3191&gt;=_TM1,B3191&lt;=_TM2,OR(TH!L3191="1111",TH!M3191="1111")),TH!D3191,""),"")</f>
        <v/>
      </c>
      <c r="B3191" s="896">
        <f t="shared" si="165"/>
        <v>6</v>
      </c>
      <c r="C3191" s="897">
        <f t="shared" si="166"/>
        <v>42550</v>
      </c>
      <c r="D3191" s="897" t="s">
        <v>1580</v>
      </c>
      <c r="E3191" s="869">
        <v>42550</v>
      </c>
      <c r="F3191" s="967" t="s">
        <v>525</v>
      </c>
      <c r="G3191" s="871" t="s">
        <v>643</v>
      </c>
      <c r="H3191" s="965" t="s">
        <v>1328</v>
      </c>
      <c r="I3191" s="254">
        <v>51</v>
      </c>
      <c r="J3191" s="254">
        <v>49098.452230635987</v>
      </c>
      <c r="K3191" s="51">
        <f t="shared" si="167"/>
        <v>2504021</v>
      </c>
      <c r="L3191" s="966" t="s">
        <v>172</v>
      </c>
      <c r="M3191" s="966" t="s">
        <v>167</v>
      </c>
      <c r="N3191" s="52" t="str">
        <f>IF(AND('331-CT'!$E$7=TH!H3191,OR(L3191="331",M3191="331")),"331",IF(AND(OR(L3191="131",M3191="131"),H3191='131-CT'!$E$7),"131",""))</f>
        <v/>
      </c>
      <c r="O3191" s="857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/>
      </c>
      <c r="AB3191" s="765"/>
    </row>
    <row r="3192" spans="1:28" s="900" customFormat="1" ht="15.75" customHeight="1">
      <c r="A3192" s="895" t="str">
        <f>IF(B3192&lt;&gt;"",IF(AND(B3192&gt;=_TM1,B3192&lt;=_TM2,OR(TH!L3192="1111",TH!M3192="1111")),TH!D3192,""),"")</f>
        <v/>
      </c>
      <c r="B3192" s="896">
        <f t="shared" si="165"/>
        <v>6</v>
      </c>
      <c r="C3192" s="897">
        <f t="shared" si="166"/>
        <v>42551</v>
      </c>
      <c r="D3192" s="897" t="s">
        <v>1580</v>
      </c>
      <c r="E3192" s="869">
        <v>42551</v>
      </c>
      <c r="F3192" s="967" t="s">
        <v>681</v>
      </c>
      <c r="G3192" s="871" t="s">
        <v>644</v>
      </c>
      <c r="H3192" s="965" t="s">
        <v>1328</v>
      </c>
      <c r="I3192" s="254">
        <v>220</v>
      </c>
      <c r="J3192" s="254">
        <v>7160.1909503010811</v>
      </c>
      <c r="K3192" s="51">
        <f t="shared" si="167"/>
        <v>1575242</v>
      </c>
      <c r="L3192" s="966" t="s">
        <v>172</v>
      </c>
      <c r="M3192" s="966" t="s">
        <v>167</v>
      </c>
      <c r="N3192" s="52" t="str">
        <f>IF(AND('331-CT'!$E$7=TH!H3192,OR(L3192="331",M3192="331")),"331",IF(AND(OR(L3192="131",M3192="131"),H3192='131-CT'!$E$7),"131",""))</f>
        <v/>
      </c>
      <c r="O3192" s="857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/>
      </c>
      <c r="AB3192" s="765"/>
    </row>
    <row r="3193" spans="1:28" s="900" customFormat="1" ht="15.75" customHeight="1">
      <c r="A3193" s="895" t="str">
        <f>IF(B3193&lt;&gt;"",IF(AND(B3193&gt;=_TM1,B3193&lt;=_TM2,OR(TH!L3193="1111",TH!M3193="1111")),TH!D3193,""),"")</f>
        <v/>
      </c>
      <c r="B3193" s="896">
        <f t="shared" si="165"/>
        <v>6</v>
      </c>
      <c r="C3193" s="897">
        <f t="shared" si="166"/>
        <v>42551</v>
      </c>
      <c r="D3193" s="897" t="s">
        <v>1580</v>
      </c>
      <c r="E3193" s="869">
        <v>42551</v>
      </c>
      <c r="F3193" s="967" t="s">
        <v>570</v>
      </c>
      <c r="G3193" s="871" t="s">
        <v>644</v>
      </c>
      <c r="H3193" s="965" t="s">
        <v>1328</v>
      </c>
      <c r="I3193" s="254">
        <v>529</v>
      </c>
      <c r="J3193" s="254">
        <v>8268.3157402286288</v>
      </c>
      <c r="K3193" s="51">
        <f t="shared" si="167"/>
        <v>4373939</v>
      </c>
      <c r="L3193" s="966" t="s">
        <v>172</v>
      </c>
      <c r="M3193" s="966" t="s">
        <v>167</v>
      </c>
      <c r="N3193" s="52" t="str">
        <f>IF(AND('331-CT'!$E$7=TH!H3193,OR(L3193="331",M3193="331")),"331",IF(AND(OR(L3193="131",M3193="131"),H3193='131-CT'!$E$7),"131",""))</f>
        <v/>
      </c>
      <c r="O3193" s="857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/>
      </c>
      <c r="AB3193" s="765"/>
    </row>
    <row r="3194" spans="1:28" s="827" customFormat="1" ht="15.75" customHeight="1">
      <c r="A3194" s="924" t="str">
        <f>IF(B3194&lt;&gt;"",IF(AND(B3194&gt;=_TM1,B3194&lt;=_TM2,OR(TH!L3194="1111",TH!M3194="1111")),TH!D3194,""),"")</f>
        <v/>
      </c>
      <c r="B3194" s="818">
        <f t="shared" ref="B3194:B3257" si="168">IF(C3194&lt;&gt;"",MONTH(C3194),"")</f>
        <v>7</v>
      </c>
      <c r="C3194" s="819">
        <f t="shared" si="166"/>
        <v>42556</v>
      </c>
      <c r="D3194" s="819" t="s">
        <v>1580</v>
      </c>
      <c r="E3194" s="820">
        <v>42556</v>
      </c>
      <c r="F3194" s="828" t="s">
        <v>1474</v>
      </c>
      <c r="G3194" s="822" t="s">
        <v>646</v>
      </c>
      <c r="H3194" s="823" t="s">
        <v>1328</v>
      </c>
      <c r="I3194" s="824">
        <v>498</v>
      </c>
      <c r="J3194" s="824">
        <v>11673.570112762354</v>
      </c>
      <c r="K3194" s="868">
        <f t="shared" si="167"/>
        <v>5813438</v>
      </c>
      <c r="L3194" s="931" t="s">
        <v>172</v>
      </c>
      <c r="M3194" s="931" t="s">
        <v>167</v>
      </c>
      <c r="N3194" s="52" t="str">
        <f>IF(AND('331-CT'!$E$7=TH!H3194,OR(L3194="331",M3194="331")),"331",IF(AND(OR(L3194="131",M3194="131"),H3194='131-CT'!$E$7),"131",""))</f>
        <v/>
      </c>
      <c r="O3194" s="857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928"/>
    </row>
    <row r="3195" spans="1:28" s="900" customFormat="1" ht="15.75" customHeight="1">
      <c r="A3195" s="895" t="str">
        <f>IF(B3195&lt;&gt;"",IF(AND(B3195&gt;=_TM1,B3195&lt;=_TM2,OR(TH!L3195="1111",TH!M3195="1111")),TH!D3195,""),"")</f>
        <v/>
      </c>
      <c r="B3195" s="896">
        <f t="shared" si="168"/>
        <v>7</v>
      </c>
      <c r="C3195" s="897">
        <f t="shared" si="166"/>
        <v>42557</v>
      </c>
      <c r="D3195" s="897" t="s">
        <v>1580</v>
      </c>
      <c r="E3195" s="869">
        <v>42557</v>
      </c>
      <c r="F3195" s="967" t="s">
        <v>1286</v>
      </c>
      <c r="G3195" s="871" t="s">
        <v>647</v>
      </c>
      <c r="H3195" s="965" t="s">
        <v>1328</v>
      </c>
      <c r="I3195" s="254">
        <v>1320</v>
      </c>
      <c r="J3195" s="254">
        <v>10076.134202594874</v>
      </c>
      <c r="K3195" s="51">
        <f t="shared" si="167"/>
        <v>13300497</v>
      </c>
      <c r="L3195" s="966" t="s">
        <v>172</v>
      </c>
      <c r="M3195" s="966" t="s">
        <v>167</v>
      </c>
      <c r="N3195" s="52" t="str">
        <f>IF(AND('331-CT'!$E$7=TH!H3195,OR(L3195="331",M3195="331")),"331",IF(AND(OR(L3195="131",M3195="131"),H3195='131-CT'!$E$7),"131",""))</f>
        <v/>
      </c>
      <c r="O3195" s="857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765"/>
    </row>
    <row r="3196" spans="1:28" s="900" customFormat="1" ht="15.75" customHeight="1">
      <c r="A3196" s="895" t="str">
        <f>IF(B3196&lt;&gt;"",IF(AND(B3196&gt;=_TM1,B3196&lt;=_TM2,OR(TH!L3196="1111",TH!M3196="1111")),TH!D3196,""),"")</f>
        <v/>
      </c>
      <c r="B3196" s="896">
        <f t="shared" si="168"/>
        <v>7</v>
      </c>
      <c r="C3196" s="897">
        <f t="shared" si="166"/>
        <v>42557</v>
      </c>
      <c r="D3196" s="897" t="s">
        <v>1580</v>
      </c>
      <c r="E3196" s="869">
        <v>42557</v>
      </c>
      <c r="F3196" s="967" t="s">
        <v>1287</v>
      </c>
      <c r="G3196" s="871" t="s">
        <v>647</v>
      </c>
      <c r="H3196" s="965" t="s">
        <v>1328</v>
      </c>
      <c r="I3196" s="254">
        <v>630</v>
      </c>
      <c r="J3196" s="254">
        <v>11182.051371172362</v>
      </c>
      <c r="K3196" s="51">
        <f t="shared" si="167"/>
        <v>7044692</v>
      </c>
      <c r="L3196" s="966" t="s">
        <v>172</v>
      </c>
      <c r="M3196" s="966" t="s">
        <v>167</v>
      </c>
      <c r="N3196" s="52" t="str">
        <f>IF(AND('331-CT'!$E$7=TH!H3196,OR(L3196="331",M3196="331")),"331",IF(AND(OR(L3196="131",M3196="131"),H3196='131-CT'!$E$7),"131",""))</f>
        <v/>
      </c>
      <c r="O3196" s="857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765"/>
    </row>
    <row r="3197" spans="1:28" s="900" customFormat="1" ht="15.75" customHeight="1">
      <c r="A3197" s="895" t="str">
        <f>IF(B3197&lt;&gt;"",IF(AND(B3197&gt;=_TM1,B3197&lt;=_TM2,OR(TH!L3197="1111",TH!M3197="1111")),TH!D3197,""),"")</f>
        <v/>
      </c>
      <c r="B3197" s="896">
        <f t="shared" si="168"/>
        <v>7</v>
      </c>
      <c r="C3197" s="897">
        <f t="shared" si="166"/>
        <v>42557</v>
      </c>
      <c r="D3197" s="897" t="s">
        <v>1580</v>
      </c>
      <c r="E3197" s="963">
        <v>42557</v>
      </c>
      <c r="F3197" s="967" t="s">
        <v>624</v>
      </c>
      <c r="G3197" s="871" t="s">
        <v>647</v>
      </c>
      <c r="H3197" s="965" t="s">
        <v>1328</v>
      </c>
      <c r="I3197" s="254">
        <v>320</v>
      </c>
      <c r="J3197" s="254">
        <v>11059.171685774863</v>
      </c>
      <c r="K3197" s="51">
        <f t="shared" si="167"/>
        <v>3538935</v>
      </c>
      <c r="L3197" s="966" t="s">
        <v>172</v>
      </c>
      <c r="M3197" s="966" t="s">
        <v>167</v>
      </c>
      <c r="N3197" s="52" t="str">
        <f>IF(AND('331-CT'!$E$7=TH!H3197,OR(L3197="331",M3197="331")),"331",IF(AND(OR(L3197="131",M3197="131"),H3197='131-CT'!$E$7),"131",""))</f>
        <v/>
      </c>
      <c r="O3197" s="857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765"/>
    </row>
    <row r="3198" spans="1:28" s="900" customFormat="1" ht="15.75" customHeight="1">
      <c r="A3198" s="895" t="str">
        <f>IF(B3198&lt;&gt;"",IF(AND(B3198&gt;=_TM1,B3198&lt;=_TM2,OR(TH!L3198="1111",TH!M3198="1111")),TH!D3198,""),"")</f>
        <v/>
      </c>
      <c r="B3198" s="896">
        <f t="shared" si="168"/>
        <v>7</v>
      </c>
      <c r="C3198" s="897">
        <f t="shared" si="166"/>
        <v>42557</v>
      </c>
      <c r="D3198" s="897" t="s">
        <v>1580</v>
      </c>
      <c r="E3198" s="963">
        <v>42557</v>
      </c>
      <c r="F3198" s="967" t="s">
        <v>1288</v>
      </c>
      <c r="G3198" s="871" t="s">
        <v>648</v>
      </c>
      <c r="H3198" s="965" t="s">
        <v>1328</v>
      </c>
      <c r="I3198" s="254">
        <v>230</v>
      </c>
      <c r="J3198" s="254">
        <v>9093.096719414887</v>
      </c>
      <c r="K3198" s="51">
        <f t="shared" si="167"/>
        <v>2091412</v>
      </c>
      <c r="L3198" s="966" t="s">
        <v>172</v>
      </c>
      <c r="M3198" s="966" t="s">
        <v>167</v>
      </c>
      <c r="N3198" s="52" t="str">
        <f>IF(AND('331-CT'!$E$7=TH!H3198,OR(L3198="331",M3198="331")),"331",IF(AND(OR(L3198="131",M3198="131"),H3198='131-CT'!$E$7),"131",""))</f>
        <v/>
      </c>
      <c r="O3198" s="857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765"/>
    </row>
    <row r="3199" spans="1:28" s="900" customFormat="1" ht="15.75" customHeight="1">
      <c r="A3199" s="895" t="str">
        <f>IF(B3199&lt;&gt;"",IF(AND(B3199&gt;=_TM1,B3199&lt;=_TM2,OR(TH!L3199="1111",TH!M3199="1111")),TH!D3199,""),"")</f>
        <v/>
      </c>
      <c r="B3199" s="896">
        <f t="shared" si="168"/>
        <v>7</v>
      </c>
      <c r="C3199" s="897">
        <f t="shared" ref="C3199:C3262" si="169">E3199</f>
        <v>42558</v>
      </c>
      <c r="D3199" s="897" t="s">
        <v>1580</v>
      </c>
      <c r="E3199" s="963">
        <v>42558</v>
      </c>
      <c r="F3199" s="967" t="s">
        <v>1289</v>
      </c>
      <c r="G3199" s="871" t="s">
        <v>649</v>
      </c>
      <c r="H3199" s="965" t="s">
        <v>1328</v>
      </c>
      <c r="I3199" s="254">
        <v>1545</v>
      </c>
      <c r="J3199" s="254">
        <v>8355.8186070298962</v>
      </c>
      <c r="K3199" s="51">
        <f t="shared" si="167"/>
        <v>12909740</v>
      </c>
      <c r="L3199" s="966" t="s">
        <v>172</v>
      </c>
      <c r="M3199" s="966" t="s">
        <v>167</v>
      </c>
      <c r="N3199" s="52" t="str">
        <f>IF(AND('331-CT'!$E$7=TH!H3199,OR(L3199="331",M3199="331")),"331",IF(AND(OR(L3199="131",M3199="131"),H3199='131-CT'!$E$7),"131",""))</f>
        <v/>
      </c>
      <c r="O3199" s="857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765"/>
    </row>
    <row r="3200" spans="1:28" s="900" customFormat="1" ht="15.75" customHeight="1">
      <c r="A3200" s="895" t="str">
        <f>IF(B3200&lt;&gt;"",IF(AND(B3200&gt;=_TM1,B3200&lt;=_TM2,OR(TH!L3200="1111",TH!M3200="1111")),TH!D3200,""),"")</f>
        <v/>
      </c>
      <c r="B3200" s="896">
        <f t="shared" si="168"/>
        <v>7</v>
      </c>
      <c r="C3200" s="897">
        <f t="shared" si="169"/>
        <v>42558</v>
      </c>
      <c r="D3200" s="897" t="s">
        <v>1580</v>
      </c>
      <c r="E3200" s="963">
        <v>42558</v>
      </c>
      <c r="F3200" s="967" t="s">
        <v>1289</v>
      </c>
      <c r="G3200" s="871" t="s">
        <v>649</v>
      </c>
      <c r="H3200" s="965" t="s">
        <v>1328</v>
      </c>
      <c r="I3200" s="254">
        <v>559</v>
      </c>
      <c r="J3200" s="254">
        <v>8355.8186070298962</v>
      </c>
      <c r="K3200" s="51">
        <f t="shared" ref="K3200:K3263" si="170">ROUND(I3200*J3200,0)</f>
        <v>4670903</v>
      </c>
      <c r="L3200" s="966" t="s">
        <v>172</v>
      </c>
      <c r="M3200" s="966" t="s">
        <v>167</v>
      </c>
      <c r="N3200" s="52" t="str">
        <f>IF(AND('331-CT'!$E$7=TH!H3200,OR(L3200="331",M3200="331")),"331",IF(AND(OR(L3200="131",M3200="131"),H3200='131-CT'!$E$7),"131",""))</f>
        <v/>
      </c>
      <c r="O3200" s="857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765"/>
    </row>
    <row r="3201" spans="1:30" s="900" customFormat="1" ht="15.75" customHeight="1">
      <c r="A3201" s="895" t="str">
        <f>IF(B3201&lt;&gt;"",IF(AND(B3201&gt;=_TM1,B3201&lt;=_TM2,OR(TH!L3201="1111",TH!M3201="1111")),TH!D3201,""),"")</f>
        <v/>
      </c>
      <c r="B3201" s="896">
        <f t="shared" si="168"/>
        <v>7</v>
      </c>
      <c r="C3201" s="897">
        <f t="shared" si="169"/>
        <v>42559</v>
      </c>
      <c r="D3201" s="897" t="s">
        <v>1580</v>
      </c>
      <c r="E3201" s="963">
        <v>42559</v>
      </c>
      <c r="F3201" s="967" t="s">
        <v>1019</v>
      </c>
      <c r="G3201" s="871" t="s">
        <v>650</v>
      </c>
      <c r="H3201" s="965" t="s">
        <v>1328</v>
      </c>
      <c r="I3201" s="254">
        <v>548</v>
      </c>
      <c r="J3201" s="254">
        <v>10567.652944184869</v>
      </c>
      <c r="K3201" s="51">
        <f t="shared" si="170"/>
        <v>5791074</v>
      </c>
      <c r="L3201" s="966" t="s">
        <v>172</v>
      </c>
      <c r="M3201" s="966" t="s">
        <v>167</v>
      </c>
      <c r="N3201" s="52" t="str">
        <f>IF(AND('331-CT'!$E$7=TH!H3201,OR(L3201="331",M3201="331")),"331",IF(AND(OR(L3201="131",M3201="131"),H3201='131-CT'!$E$7),"131",""))</f>
        <v/>
      </c>
      <c r="O3201" s="857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765"/>
    </row>
    <row r="3202" spans="1:30" s="900" customFormat="1" ht="15.75" customHeight="1">
      <c r="A3202" s="895" t="str">
        <f>IF(B3202&lt;&gt;"",IF(AND(B3202&gt;=_TM1,B3202&lt;=_TM2,OR(TH!L3202="1111",TH!M3202="1111")),TH!D3202,""),"")</f>
        <v/>
      </c>
      <c r="B3202" s="896">
        <f t="shared" si="168"/>
        <v>7</v>
      </c>
      <c r="C3202" s="897">
        <f t="shared" si="169"/>
        <v>42563</v>
      </c>
      <c r="D3202" s="897" t="s">
        <v>1580</v>
      </c>
      <c r="E3202" s="869">
        <v>42563</v>
      </c>
      <c r="F3202" s="967" t="s">
        <v>1101</v>
      </c>
      <c r="G3202" s="871" t="s">
        <v>651</v>
      </c>
      <c r="H3202" s="965" t="s">
        <v>1328</v>
      </c>
      <c r="I3202" s="254">
        <v>220</v>
      </c>
      <c r="J3202" s="254">
        <v>33546.154113517085</v>
      </c>
      <c r="K3202" s="51">
        <f t="shared" si="170"/>
        <v>7380154</v>
      </c>
      <c r="L3202" s="966" t="s">
        <v>172</v>
      </c>
      <c r="M3202" s="966" t="s">
        <v>167</v>
      </c>
      <c r="N3202" s="52" t="str">
        <f>IF(AND('331-CT'!$E$7=TH!H3202,OR(L3202="331",M3202="331")),"331",IF(AND(OR(L3202="131",M3202="131"),H3202='131-CT'!$E$7),"131",""))</f>
        <v/>
      </c>
      <c r="O3202" s="857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765"/>
    </row>
    <row r="3203" spans="1:30" s="900" customFormat="1" ht="15.75" customHeight="1">
      <c r="A3203" s="895" t="str">
        <f>IF(B3203&lt;&gt;"",IF(AND(B3203&gt;=_TM1,B3203&lt;=_TM2,OR(TH!L3203="1111",TH!M3203="1111")),TH!D3203,""),"")</f>
        <v/>
      </c>
      <c r="B3203" s="896">
        <f t="shared" si="168"/>
        <v>7</v>
      </c>
      <c r="C3203" s="897">
        <f t="shared" si="169"/>
        <v>42563</v>
      </c>
      <c r="D3203" s="897" t="s">
        <v>1580</v>
      </c>
      <c r="E3203" s="869">
        <v>42563</v>
      </c>
      <c r="F3203" s="870" t="s">
        <v>948</v>
      </c>
      <c r="G3203" s="970" t="s">
        <v>651</v>
      </c>
      <c r="H3203" s="965" t="s">
        <v>1328</v>
      </c>
      <c r="I3203" s="923">
        <v>250</v>
      </c>
      <c r="J3203" s="254">
        <v>16465.877843264796</v>
      </c>
      <c r="K3203" s="51">
        <f t="shared" si="170"/>
        <v>4116469</v>
      </c>
      <c r="L3203" s="966" t="s">
        <v>172</v>
      </c>
      <c r="M3203" s="966" t="s">
        <v>167</v>
      </c>
      <c r="N3203" s="52" t="str">
        <f>IF(AND('331-CT'!$E$7=TH!H3203,OR(L3203="331",M3203="331")),"331",IF(AND(OR(L3203="131",M3203="131"),H3203='131-CT'!$E$7),"131",""))</f>
        <v/>
      </c>
      <c r="O3203" s="857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765"/>
    </row>
    <row r="3204" spans="1:30" s="900" customFormat="1" ht="15.75" customHeight="1">
      <c r="A3204" s="895" t="str">
        <f>IF(B3204&lt;&gt;"",IF(AND(B3204&gt;=_TM1,B3204&lt;=_TM2,OR(TH!L3204="1111",TH!M3204="1111")),TH!D3204,""),"")</f>
        <v/>
      </c>
      <c r="B3204" s="896">
        <f t="shared" si="168"/>
        <v>7</v>
      </c>
      <c r="C3204" s="897">
        <f t="shared" si="169"/>
        <v>42563</v>
      </c>
      <c r="D3204" s="897" t="s">
        <v>1580</v>
      </c>
      <c r="E3204" s="869">
        <v>42563</v>
      </c>
      <c r="F3204" s="870" t="s">
        <v>1102</v>
      </c>
      <c r="G3204" s="970" t="s">
        <v>651</v>
      </c>
      <c r="H3204" s="965" t="s">
        <v>1328</v>
      </c>
      <c r="I3204" s="923">
        <v>45</v>
      </c>
      <c r="J3204" s="254">
        <v>10567.652944184869</v>
      </c>
      <c r="K3204" s="51">
        <f t="shared" si="170"/>
        <v>475544</v>
      </c>
      <c r="L3204" s="966" t="s">
        <v>172</v>
      </c>
      <c r="M3204" s="966" t="s">
        <v>167</v>
      </c>
      <c r="N3204" s="52" t="str">
        <f>IF(AND('331-CT'!$E$7=TH!H3204,OR(L3204="331",M3204="331")),"331",IF(AND(OR(L3204="131",M3204="131"),H3204='131-CT'!$E$7),"131",""))</f>
        <v/>
      </c>
      <c r="O3204" s="857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765"/>
    </row>
    <row r="3205" spans="1:30" s="900" customFormat="1" ht="15.75" customHeight="1">
      <c r="A3205" s="895" t="str">
        <f>IF(B3205&lt;&gt;"",IF(AND(B3205&gt;=_TM1,B3205&lt;=_TM2,OR(TH!L3205="1111",TH!M3205="1111")),TH!D3205,""),"")</f>
        <v/>
      </c>
      <c r="B3205" s="896">
        <f t="shared" si="168"/>
        <v>7</v>
      </c>
      <c r="C3205" s="897">
        <f t="shared" si="169"/>
        <v>42563</v>
      </c>
      <c r="D3205" s="897" t="s">
        <v>1580</v>
      </c>
      <c r="E3205" s="869">
        <v>42563</v>
      </c>
      <c r="F3205" s="967" t="s">
        <v>504</v>
      </c>
      <c r="G3205" s="871" t="s">
        <v>651</v>
      </c>
      <c r="H3205" s="965" t="s">
        <v>1328</v>
      </c>
      <c r="I3205" s="254">
        <v>582</v>
      </c>
      <c r="J3205" s="254">
        <v>15728.599730879805</v>
      </c>
      <c r="K3205" s="51">
        <f t="shared" si="170"/>
        <v>9154045</v>
      </c>
      <c r="L3205" s="966" t="s">
        <v>172</v>
      </c>
      <c r="M3205" s="966" t="s">
        <v>167</v>
      </c>
      <c r="N3205" s="52" t="str">
        <f>IF(AND('331-CT'!$E$7=TH!H3205,OR(L3205="331",M3205="331")),"331",IF(AND(OR(L3205="131",M3205="131"),H3205='131-CT'!$E$7),"131",""))</f>
        <v/>
      </c>
      <c r="O3205" s="857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765"/>
    </row>
    <row r="3206" spans="1:30" s="900" customFormat="1" ht="15.75" customHeight="1">
      <c r="A3206" s="895" t="str">
        <f>IF(B3206&lt;&gt;"",IF(AND(B3206&gt;=_TM1,B3206&lt;=_TM2,OR(TH!L3206="1111",TH!M3206="1111")),TH!D3206,""),"")</f>
        <v/>
      </c>
      <c r="B3206" s="896">
        <f t="shared" si="168"/>
        <v>7</v>
      </c>
      <c r="C3206" s="897">
        <f t="shared" si="169"/>
        <v>42563</v>
      </c>
      <c r="D3206" s="897" t="s">
        <v>1580</v>
      </c>
      <c r="E3206" s="869">
        <v>42563</v>
      </c>
      <c r="F3206" s="967" t="s">
        <v>1103</v>
      </c>
      <c r="G3206" s="871" t="s">
        <v>651</v>
      </c>
      <c r="H3206" s="965" t="s">
        <v>1328</v>
      </c>
      <c r="I3206" s="254">
        <v>55</v>
      </c>
      <c r="J3206" s="254">
        <v>14499.802876904818</v>
      </c>
      <c r="K3206" s="51">
        <f t="shared" si="170"/>
        <v>797489</v>
      </c>
      <c r="L3206" s="966" t="s">
        <v>172</v>
      </c>
      <c r="M3206" s="966" t="s">
        <v>167</v>
      </c>
      <c r="N3206" s="52" t="str">
        <f>IF(AND('331-CT'!$E$7=TH!H3206,OR(L3206="331",M3206="331")),"331",IF(AND(OR(L3206="131",M3206="131"),H3206='131-CT'!$E$7),"131",""))</f>
        <v/>
      </c>
      <c r="O3206" s="857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765"/>
    </row>
    <row r="3207" spans="1:30" s="900" customFormat="1" ht="15.75" customHeight="1">
      <c r="A3207" s="895" t="str">
        <f>IF(B3207&lt;&gt;"",IF(AND(B3207&gt;=_TM1,B3207&lt;=_TM2,OR(TH!L3207="1111",TH!M3207="1111")),TH!D3207,""),"")</f>
        <v/>
      </c>
      <c r="B3207" s="896">
        <f t="shared" si="168"/>
        <v>7</v>
      </c>
      <c r="C3207" s="897">
        <f t="shared" si="169"/>
        <v>42563</v>
      </c>
      <c r="D3207" s="897" t="s">
        <v>1580</v>
      </c>
      <c r="E3207" s="963">
        <v>42563</v>
      </c>
      <c r="F3207" s="49" t="s">
        <v>1099</v>
      </c>
      <c r="G3207" s="904" t="s">
        <v>652</v>
      </c>
      <c r="H3207" s="965" t="s">
        <v>1328</v>
      </c>
      <c r="I3207" s="972">
        <v>19</v>
      </c>
      <c r="J3207" s="972">
        <v>103956.21384628372</v>
      </c>
      <c r="K3207" s="51">
        <f t="shared" si="170"/>
        <v>1975168</v>
      </c>
      <c r="L3207" s="966" t="s">
        <v>172</v>
      </c>
      <c r="M3207" s="966" t="s">
        <v>167</v>
      </c>
      <c r="N3207" s="52" t="str">
        <f>IF(AND('331-CT'!$E$7=TH!H3207,OR(L3207="331",M3207="331")),"331",IF(AND(OR(L3207="131",M3207="131"),H3207='131-CT'!$E$7),"131",""))</f>
        <v/>
      </c>
      <c r="O3207" s="857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765"/>
    </row>
    <row r="3208" spans="1:30" s="900" customFormat="1" ht="15.75" customHeight="1">
      <c r="A3208" s="895" t="str">
        <f>IF(B3208&lt;&gt;"",IF(AND(B3208&gt;=_TM1,B3208&lt;=_TM2,OR(TH!L3208="1111",TH!M3208="1111")),TH!D3208,""),"")</f>
        <v/>
      </c>
      <c r="B3208" s="896">
        <f t="shared" si="168"/>
        <v>7</v>
      </c>
      <c r="C3208" s="897">
        <f t="shared" si="169"/>
        <v>42563</v>
      </c>
      <c r="D3208" s="897" t="s">
        <v>1580</v>
      </c>
      <c r="E3208" s="963">
        <v>42563</v>
      </c>
      <c r="F3208" s="49" t="s">
        <v>448</v>
      </c>
      <c r="G3208" s="904" t="s">
        <v>652</v>
      </c>
      <c r="H3208" s="965" t="s">
        <v>1328</v>
      </c>
      <c r="I3208" s="254">
        <v>60</v>
      </c>
      <c r="J3208" s="254">
        <v>89087.771913186385</v>
      </c>
      <c r="K3208" s="51">
        <f t="shared" si="170"/>
        <v>5345266</v>
      </c>
      <c r="L3208" s="966" t="s">
        <v>172</v>
      </c>
      <c r="M3208" s="966" t="s">
        <v>167</v>
      </c>
      <c r="N3208" s="52" t="str">
        <f>IF(AND('331-CT'!$E$7=TH!H3208,OR(L3208="331",M3208="331")),"331",IF(AND(OR(L3208="131",M3208="131"),H3208='131-CT'!$E$7),"131",""))</f>
        <v/>
      </c>
      <c r="O3208" s="857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765"/>
    </row>
    <row r="3209" spans="1:30" s="900" customFormat="1" ht="15.75" customHeight="1">
      <c r="A3209" s="895" t="str">
        <f>IF(B3209&lt;&gt;"",IF(AND(B3209&gt;=_TM1,B3209&lt;=_TM2,OR(TH!L3209="1111",TH!M3209="1111")),TH!D3209,""),"")</f>
        <v/>
      </c>
      <c r="B3209" s="896">
        <f t="shared" si="168"/>
        <v>8</v>
      </c>
      <c r="C3209" s="897">
        <f t="shared" si="169"/>
        <v>42604</v>
      </c>
      <c r="D3209" s="897" t="s">
        <v>1580</v>
      </c>
      <c r="E3209" s="963">
        <v>42604</v>
      </c>
      <c r="F3209" s="870" t="s">
        <v>459</v>
      </c>
      <c r="G3209" s="871" t="s">
        <v>1290</v>
      </c>
      <c r="H3209" s="965" t="s">
        <v>1328</v>
      </c>
      <c r="I3209" s="254">
        <v>489</v>
      </c>
      <c r="J3209" s="254">
        <v>14868.441933097314</v>
      </c>
      <c r="K3209" s="51">
        <f t="shared" si="170"/>
        <v>7270668</v>
      </c>
      <c r="L3209" s="966" t="s">
        <v>172</v>
      </c>
      <c r="M3209" s="966" t="s">
        <v>167</v>
      </c>
      <c r="N3209" s="52" t="str">
        <f>IF(AND('331-CT'!$E$7=TH!H3209,OR(L3209="331",M3209="331")),"331",IF(AND(OR(L3209="131",M3209="131"),H3209='131-CT'!$E$7),"131",""))</f>
        <v/>
      </c>
      <c r="O3209" s="857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765"/>
      <c r="AC3209" s="899"/>
      <c r="AD3209" s="899"/>
    </row>
    <row r="3210" spans="1:30" s="900" customFormat="1" ht="15.75" customHeight="1">
      <c r="A3210" s="895" t="str">
        <f>IF(B3210&lt;&gt;"",IF(AND(B3210&gt;=_TM1,B3210&lt;=_TM2,OR(TH!L3210="1111",TH!M3210="1111")),TH!D3210,""),"")</f>
        <v/>
      </c>
      <c r="B3210" s="896">
        <f t="shared" si="168"/>
        <v>8</v>
      </c>
      <c r="C3210" s="897">
        <f t="shared" si="169"/>
        <v>42605</v>
      </c>
      <c r="D3210" s="897" t="s">
        <v>1580</v>
      </c>
      <c r="E3210" s="963">
        <v>42605</v>
      </c>
      <c r="F3210" s="870" t="s">
        <v>1293</v>
      </c>
      <c r="G3210" s="871" t="s">
        <v>1291</v>
      </c>
      <c r="H3210" s="965" t="s">
        <v>1328</v>
      </c>
      <c r="I3210" s="254">
        <v>1714</v>
      </c>
      <c r="J3210" s="254">
        <v>2457.5937079499695</v>
      </c>
      <c r="K3210" s="51">
        <f t="shared" si="170"/>
        <v>4212316</v>
      </c>
      <c r="L3210" s="966" t="s">
        <v>172</v>
      </c>
      <c r="M3210" s="966" t="s">
        <v>167</v>
      </c>
      <c r="N3210" s="52" t="str">
        <f>IF(AND('331-CT'!$E$7=TH!H3210,OR(L3210="331",M3210="331")),"331",IF(AND(OR(L3210="131",M3210="131"),H3210='131-CT'!$E$7),"131",""))</f>
        <v/>
      </c>
      <c r="O3210" s="857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765"/>
      <c r="AC3210" s="899"/>
      <c r="AD3210" s="899"/>
    </row>
    <row r="3211" spans="1:30" s="900" customFormat="1" ht="15.75" customHeight="1">
      <c r="A3211" s="895" t="str">
        <f>IF(B3211&lt;&gt;"",IF(AND(B3211&gt;=_TM1,B3211&lt;=_TM2,OR(TH!L3211="1111",TH!M3211="1111")),TH!D3211,""),"")</f>
        <v/>
      </c>
      <c r="B3211" s="896">
        <f t="shared" si="168"/>
        <v>8</v>
      </c>
      <c r="C3211" s="897">
        <f t="shared" si="169"/>
        <v>42605</v>
      </c>
      <c r="D3211" s="897" t="s">
        <v>1580</v>
      </c>
      <c r="E3211" s="963">
        <v>42605</v>
      </c>
      <c r="F3211" s="967" t="s">
        <v>1294</v>
      </c>
      <c r="G3211" s="871" t="s">
        <v>1291</v>
      </c>
      <c r="H3211" s="965" t="s">
        <v>1328</v>
      </c>
      <c r="I3211" s="254">
        <v>218</v>
      </c>
      <c r="J3211" s="254">
        <v>7864.2998654399025</v>
      </c>
      <c r="K3211" s="51">
        <f t="shared" si="170"/>
        <v>1714417</v>
      </c>
      <c r="L3211" s="966" t="s">
        <v>172</v>
      </c>
      <c r="M3211" s="966" t="s">
        <v>167</v>
      </c>
      <c r="N3211" s="52" t="str">
        <f>IF(AND('331-CT'!$E$7=TH!H3211,OR(L3211="331",M3211="331")),"331",IF(AND(OR(L3211="131",M3211="131"),H3211='131-CT'!$E$7),"131",""))</f>
        <v/>
      </c>
      <c r="O3211" s="857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765"/>
    </row>
    <row r="3212" spans="1:30" s="900" customFormat="1" ht="15.75" customHeight="1">
      <c r="A3212" s="895" t="str">
        <f>IF(B3212&lt;&gt;"",IF(AND(B3212&gt;=_TM1,B3212&lt;=_TM2,OR(TH!L3212="1111",TH!M3212="1111")),TH!D3212,""),"")</f>
        <v/>
      </c>
      <c r="B3212" s="896">
        <f t="shared" si="168"/>
        <v>8</v>
      </c>
      <c r="C3212" s="897">
        <f t="shared" si="169"/>
        <v>42612</v>
      </c>
      <c r="D3212" s="897" t="s">
        <v>1580</v>
      </c>
      <c r="E3212" s="963">
        <v>42612</v>
      </c>
      <c r="F3212" s="967" t="s">
        <v>1286</v>
      </c>
      <c r="G3212" s="871" t="s">
        <v>1295</v>
      </c>
      <c r="H3212" s="965" t="s">
        <v>1328</v>
      </c>
      <c r="I3212" s="254">
        <v>819</v>
      </c>
      <c r="J3212" s="254">
        <v>10076.134202594874</v>
      </c>
      <c r="K3212" s="51">
        <f t="shared" si="170"/>
        <v>8252354</v>
      </c>
      <c r="L3212" s="966" t="s">
        <v>172</v>
      </c>
      <c r="M3212" s="966" t="s">
        <v>167</v>
      </c>
      <c r="N3212" s="52" t="str">
        <f>IF(AND('331-CT'!$E$7=TH!H3212,OR(L3212="331",M3212="331")),"331",IF(AND(OR(L3212="131",M3212="131"),H3212='131-CT'!$E$7),"131",""))</f>
        <v/>
      </c>
      <c r="O3212" s="857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765"/>
    </row>
    <row r="3213" spans="1:30" s="900" customFormat="1" ht="15.75" customHeight="1">
      <c r="A3213" s="895" t="str">
        <f>IF(B3213&lt;&gt;"",IF(AND(B3213&gt;=_TM1,B3213&lt;=_TM2,OR(TH!L3213="1111",TH!M3213="1111")),TH!D3213,""),"")</f>
        <v/>
      </c>
      <c r="B3213" s="896">
        <f t="shared" si="168"/>
        <v>8</v>
      </c>
      <c r="C3213" s="897">
        <f t="shared" si="169"/>
        <v>42612</v>
      </c>
      <c r="D3213" s="897" t="s">
        <v>1580</v>
      </c>
      <c r="E3213" s="869">
        <v>42612</v>
      </c>
      <c r="F3213" s="967" t="s">
        <v>1287</v>
      </c>
      <c r="G3213" s="871" t="s">
        <v>1295</v>
      </c>
      <c r="H3213" s="965" t="s">
        <v>1328</v>
      </c>
      <c r="I3213" s="254">
        <v>610</v>
      </c>
      <c r="J3213" s="254">
        <v>11182.051371172362</v>
      </c>
      <c r="K3213" s="51">
        <f t="shared" si="170"/>
        <v>6821051</v>
      </c>
      <c r="L3213" s="966" t="s">
        <v>172</v>
      </c>
      <c r="M3213" s="966" t="s">
        <v>167</v>
      </c>
      <c r="N3213" s="52" t="str">
        <f>IF(AND('331-CT'!$E$7=TH!H3213,OR(L3213="331",M3213="331")),"331",IF(AND(OR(L3213="131",M3213="131"),H3213='131-CT'!$E$7),"131",""))</f>
        <v/>
      </c>
      <c r="O3213" s="857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765"/>
    </row>
    <row r="3214" spans="1:30" s="900" customFormat="1" ht="15.75" customHeight="1">
      <c r="A3214" s="895" t="str">
        <f>IF(B3214&lt;&gt;"",IF(AND(B3214&gt;=_TM1,B3214&lt;=_TM2,OR(TH!L3214="1111",TH!M3214="1111")),TH!D3214,""),"")</f>
        <v/>
      </c>
      <c r="B3214" s="896">
        <f t="shared" si="168"/>
        <v>8</v>
      </c>
      <c r="C3214" s="897">
        <f t="shared" si="169"/>
        <v>42612</v>
      </c>
      <c r="D3214" s="897" t="s">
        <v>1580</v>
      </c>
      <c r="E3214" s="869">
        <v>42612</v>
      </c>
      <c r="F3214" s="967" t="s">
        <v>471</v>
      </c>
      <c r="G3214" s="871" t="s">
        <v>1295</v>
      </c>
      <c r="H3214" s="965" t="s">
        <v>1328</v>
      </c>
      <c r="I3214" s="972">
        <v>599</v>
      </c>
      <c r="J3214" s="972">
        <v>19414.99029280476</v>
      </c>
      <c r="K3214" s="51">
        <f t="shared" si="170"/>
        <v>11629579</v>
      </c>
      <c r="L3214" s="966" t="s">
        <v>172</v>
      </c>
      <c r="M3214" s="966" t="s">
        <v>167</v>
      </c>
      <c r="N3214" s="52" t="str">
        <f>IF(AND('331-CT'!$E$7=TH!H3214,OR(L3214="331",M3214="331")),"331",IF(AND(OR(L3214="131",M3214="131"),H3214='131-CT'!$E$7),"131",""))</f>
        <v/>
      </c>
      <c r="O3214" s="857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765"/>
    </row>
    <row r="3215" spans="1:30" s="900" customFormat="1" ht="15.75" customHeight="1">
      <c r="A3215" s="895" t="str">
        <f>IF(B3215&lt;&gt;"",IF(AND(B3215&gt;=_TM1,B3215&lt;=_TM2,OR(TH!L3215="1111",TH!M3215="1111")),TH!D3215,""),"")</f>
        <v/>
      </c>
      <c r="B3215" s="896">
        <f t="shared" si="168"/>
        <v>8</v>
      </c>
      <c r="C3215" s="897">
        <f t="shared" si="169"/>
        <v>42612</v>
      </c>
      <c r="D3215" s="897" t="s">
        <v>1580</v>
      </c>
      <c r="E3215" s="963">
        <v>42612</v>
      </c>
      <c r="F3215" s="967" t="s">
        <v>484</v>
      </c>
      <c r="G3215" s="871" t="s">
        <v>1295</v>
      </c>
      <c r="H3215" s="965" t="s">
        <v>1328</v>
      </c>
      <c r="I3215" s="254">
        <v>305</v>
      </c>
      <c r="J3215" s="254">
        <v>23592.899596319705</v>
      </c>
      <c r="K3215" s="51">
        <f t="shared" si="170"/>
        <v>7195834</v>
      </c>
      <c r="L3215" s="966" t="s">
        <v>172</v>
      </c>
      <c r="M3215" s="966" t="s">
        <v>167</v>
      </c>
      <c r="N3215" s="52" t="str">
        <f>IF(AND('331-CT'!$E$7=TH!H3215,OR(L3215="331",M3215="331")),"331",IF(AND(OR(L3215="131",M3215="131"),H3215='131-CT'!$E$7),"131",""))</f>
        <v/>
      </c>
      <c r="O3215" s="857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765"/>
    </row>
    <row r="3216" spans="1:30" s="900" customFormat="1" ht="15.75" customHeight="1">
      <c r="A3216" s="895" t="str">
        <f>IF(B3216&lt;&gt;"",IF(AND(B3216&gt;=_TM1,B3216&lt;=_TM2,OR(TH!L3216="1111",TH!M3216="1111")),TH!D3216,""),"")</f>
        <v/>
      </c>
      <c r="B3216" s="896">
        <f t="shared" si="168"/>
        <v>8</v>
      </c>
      <c r="C3216" s="897">
        <f t="shared" si="169"/>
        <v>42612</v>
      </c>
      <c r="D3216" s="897" t="s">
        <v>1580</v>
      </c>
      <c r="E3216" s="963">
        <v>42612</v>
      </c>
      <c r="F3216" s="967" t="s">
        <v>1477</v>
      </c>
      <c r="G3216" s="871" t="s">
        <v>1296</v>
      </c>
      <c r="H3216" s="965" t="s">
        <v>1328</v>
      </c>
      <c r="I3216" s="254">
        <v>100</v>
      </c>
      <c r="J3216" s="254">
        <v>25681.854248077179</v>
      </c>
      <c r="K3216" s="51">
        <f t="shared" si="170"/>
        <v>2568185</v>
      </c>
      <c r="L3216" s="966" t="s">
        <v>172</v>
      </c>
      <c r="M3216" s="966" t="s">
        <v>167</v>
      </c>
      <c r="N3216" s="52" t="str">
        <f>IF(AND('331-CT'!$E$7=TH!H3216,OR(L3216="331",M3216="331")),"331",IF(AND(OR(L3216="131",M3216="131"),H3216='131-CT'!$E$7),"131",""))</f>
        <v/>
      </c>
      <c r="O3216" s="857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765"/>
    </row>
    <row r="3217" spans="1:28" s="900" customFormat="1" ht="15.75" customHeight="1">
      <c r="A3217" s="895" t="str">
        <f>IF(B3217&lt;&gt;"",IF(AND(B3217&gt;=_TM1,B3217&lt;=_TM2,OR(TH!L3217="1111",TH!M3217="1111")),TH!D3217,""),"")</f>
        <v/>
      </c>
      <c r="B3217" s="896">
        <f t="shared" si="168"/>
        <v>8</v>
      </c>
      <c r="C3217" s="897">
        <f t="shared" si="169"/>
        <v>42612</v>
      </c>
      <c r="D3217" s="897" t="s">
        <v>1580</v>
      </c>
      <c r="E3217" s="963">
        <v>42612</v>
      </c>
      <c r="F3217" s="967" t="s">
        <v>1477</v>
      </c>
      <c r="G3217" s="871" t="s">
        <v>1296</v>
      </c>
      <c r="H3217" s="965" t="s">
        <v>1328</v>
      </c>
      <c r="I3217" s="254">
        <v>100</v>
      </c>
      <c r="J3217" s="254">
        <v>25681.854248077179</v>
      </c>
      <c r="K3217" s="51">
        <f t="shared" si="170"/>
        <v>2568185</v>
      </c>
      <c r="L3217" s="966" t="s">
        <v>172</v>
      </c>
      <c r="M3217" s="966" t="s">
        <v>167</v>
      </c>
      <c r="N3217" s="52" t="str">
        <f>IF(AND('331-CT'!$E$7=TH!H3217,OR(L3217="331",M3217="331")),"331",IF(AND(OR(L3217="131",M3217="131"),H3217='131-CT'!$E$7),"131",""))</f>
        <v/>
      </c>
      <c r="O3217" s="857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765"/>
    </row>
    <row r="3218" spans="1:28" s="900" customFormat="1" ht="15.75" customHeight="1">
      <c r="A3218" s="895" t="str">
        <f>IF(B3218&lt;&gt;"",IF(AND(B3218&gt;=_TM1,B3218&lt;=_TM2,OR(TH!L3218="1111",TH!M3218="1111")),TH!D3218,""),"")</f>
        <v/>
      </c>
      <c r="B3218" s="896">
        <f t="shared" si="168"/>
        <v>9</v>
      </c>
      <c r="C3218" s="897">
        <f t="shared" si="169"/>
        <v>42627</v>
      </c>
      <c r="D3218" s="897" t="s">
        <v>1580</v>
      </c>
      <c r="E3218" s="963">
        <v>42627</v>
      </c>
      <c r="F3218" s="870" t="s">
        <v>640</v>
      </c>
      <c r="G3218" s="871" t="s">
        <v>1297</v>
      </c>
      <c r="H3218" s="965" t="s">
        <v>1328</v>
      </c>
      <c r="I3218" s="254">
        <v>153</v>
      </c>
      <c r="J3218" s="254">
        <v>39567.258697994512</v>
      </c>
      <c r="K3218" s="51">
        <f t="shared" si="170"/>
        <v>6053791</v>
      </c>
      <c r="L3218" s="966" t="s">
        <v>172</v>
      </c>
      <c r="M3218" s="966" t="s">
        <v>167</v>
      </c>
      <c r="N3218" s="52" t="str">
        <f>IF(AND('331-CT'!$E$7=TH!H3218,OR(L3218="331",M3218="331")),"331",IF(AND(OR(L3218="131",M3218="131"),H3218='131-CT'!$E$7),"131",""))</f>
        <v/>
      </c>
      <c r="O3218" s="857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765"/>
    </row>
    <row r="3219" spans="1:28" s="900" customFormat="1" ht="15.75" customHeight="1">
      <c r="A3219" s="895" t="str">
        <f>IF(B3219&lt;&gt;"",IF(AND(B3219&gt;=_TM1,B3219&lt;=_TM2,OR(TH!L3219="1111",TH!M3219="1111")),TH!D3219,""),"")</f>
        <v/>
      </c>
      <c r="B3219" s="896">
        <f t="shared" si="168"/>
        <v>9</v>
      </c>
      <c r="C3219" s="897">
        <f t="shared" si="169"/>
        <v>42627</v>
      </c>
      <c r="D3219" s="897" t="s">
        <v>1580</v>
      </c>
      <c r="E3219" s="963">
        <v>42627</v>
      </c>
      <c r="F3219" s="870" t="s">
        <v>1003</v>
      </c>
      <c r="G3219" s="871" t="s">
        <v>1298</v>
      </c>
      <c r="H3219" s="965" t="s">
        <v>1328</v>
      </c>
      <c r="I3219" s="254">
        <v>205</v>
      </c>
      <c r="J3219" s="254">
        <v>11182.051371172362</v>
      </c>
      <c r="K3219" s="51">
        <f t="shared" si="170"/>
        <v>2292321</v>
      </c>
      <c r="L3219" s="966" t="s">
        <v>172</v>
      </c>
      <c r="M3219" s="966" t="s">
        <v>167</v>
      </c>
      <c r="N3219" s="52" t="str">
        <f>IF(AND('331-CT'!$E$7=TH!H3219,OR(L3219="331",M3219="331")),"331",IF(AND(OR(L3219="131",M3219="131"),H3219='131-CT'!$E$7),"131",""))</f>
        <v/>
      </c>
      <c r="O3219" s="857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765"/>
    </row>
    <row r="3220" spans="1:28" s="900" customFormat="1" ht="15.75" customHeight="1">
      <c r="A3220" s="895" t="str">
        <f>IF(B3220&lt;&gt;"",IF(AND(B3220&gt;=_TM1,B3220&lt;=_TM2,OR(TH!L3220="1111",TH!M3220="1111")),TH!D3220,""),"")</f>
        <v/>
      </c>
      <c r="B3220" s="896">
        <f t="shared" si="168"/>
        <v>9</v>
      </c>
      <c r="C3220" s="897">
        <f t="shared" si="169"/>
        <v>42632</v>
      </c>
      <c r="D3220" s="897" t="s">
        <v>1580</v>
      </c>
      <c r="E3220" s="963">
        <v>42632</v>
      </c>
      <c r="F3220" s="967" t="s">
        <v>1474</v>
      </c>
      <c r="G3220" s="871" t="s">
        <v>1300</v>
      </c>
      <c r="H3220" s="965" t="s">
        <v>1328</v>
      </c>
      <c r="I3220" s="254">
        <v>300</v>
      </c>
      <c r="J3220" s="254">
        <v>11673.570112762354</v>
      </c>
      <c r="K3220" s="51">
        <f t="shared" si="170"/>
        <v>3502071</v>
      </c>
      <c r="L3220" s="966" t="s">
        <v>172</v>
      </c>
      <c r="M3220" s="966" t="s">
        <v>167</v>
      </c>
      <c r="N3220" s="52" t="str">
        <f>IF(AND('331-CT'!$E$7=TH!H3220,OR(L3220="331",M3220="331")),"331",IF(AND(OR(L3220="131",M3220="131"),H3220='131-CT'!$E$7),"131",""))</f>
        <v/>
      </c>
      <c r="O3220" s="857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765"/>
    </row>
    <row r="3221" spans="1:28" s="827" customFormat="1" ht="15.75" customHeight="1">
      <c r="A3221" s="924" t="str">
        <f>IF(B3221&lt;&gt;"",IF(AND(B3221&gt;=_TM1,B3221&lt;=_TM2,OR(TH!L3221="1111",TH!M3221="1111")),TH!D3221,""),"")</f>
        <v/>
      </c>
      <c r="B3221" s="818">
        <f t="shared" si="168"/>
        <v>10</v>
      </c>
      <c r="C3221" s="819">
        <f t="shared" si="169"/>
        <v>42648</v>
      </c>
      <c r="D3221" s="819" t="s">
        <v>1580</v>
      </c>
      <c r="E3221" s="890">
        <v>42648</v>
      </c>
      <c r="F3221" s="828" t="s">
        <v>1465</v>
      </c>
      <c r="G3221" s="822" t="s">
        <v>1576</v>
      </c>
      <c r="H3221" s="823" t="s">
        <v>1328</v>
      </c>
      <c r="I3221" s="944">
        <v>50</v>
      </c>
      <c r="J3221" s="944">
        <v>8605.1998042915038</v>
      </c>
      <c r="K3221" s="868">
        <f t="shared" si="170"/>
        <v>430260</v>
      </c>
      <c r="L3221" s="931" t="s">
        <v>172</v>
      </c>
      <c r="M3221" s="931" t="s">
        <v>167</v>
      </c>
      <c r="N3221" s="52" t="str">
        <f>IF(AND('331-CT'!$E$7=TH!H3221,OR(L3221="331",M3221="331")),"331",IF(AND(OR(L3221="131",M3221="131"),H3221='131-CT'!$E$7),"131",""))</f>
        <v/>
      </c>
      <c r="O3221" s="857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928"/>
    </row>
    <row r="3222" spans="1:28" s="900" customFormat="1" ht="15.75" customHeight="1">
      <c r="A3222" s="895" t="str">
        <f>IF(B3222&lt;&gt;"",IF(AND(B3222&gt;=_TM1,B3222&lt;=_TM2,OR(TH!L3222="1111",TH!M3222="1111")),TH!D3222,""),"")</f>
        <v/>
      </c>
      <c r="B3222" s="896">
        <f t="shared" si="168"/>
        <v>10</v>
      </c>
      <c r="C3222" s="897">
        <f t="shared" si="169"/>
        <v>42649</v>
      </c>
      <c r="D3222" s="897" t="s">
        <v>1580</v>
      </c>
      <c r="E3222" s="963">
        <v>42649</v>
      </c>
      <c r="F3222" s="870" t="s">
        <v>1334</v>
      </c>
      <c r="G3222" s="871" t="s">
        <v>1333</v>
      </c>
      <c r="H3222" s="965" t="s">
        <v>1328</v>
      </c>
      <c r="I3222" s="972">
        <v>1018</v>
      </c>
      <c r="J3222" s="972">
        <v>6074.2586853822377</v>
      </c>
      <c r="K3222" s="51">
        <f t="shared" si="170"/>
        <v>6183595</v>
      </c>
      <c r="L3222" s="966" t="s">
        <v>172</v>
      </c>
      <c r="M3222" s="966" t="s">
        <v>167</v>
      </c>
      <c r="N3222" s="52" t="str">
        <f>IF(AND('331-CT'!$E$7=TH!H3222,OR(L3222="331",M3222="331")),"331",IF(AND(OR(L3222="131",M3222="131"),H3222='131-CT'!$E$7),"131",""))</f>
        <v/>
      </c>
      <c r="O3222" s="857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65"/>
    </row>
    <row r="3223" spans="1:28" s="900" customFormat="1" ht="15.75" customHeight="1">
      <c r="A3223" s="895" t="str">
        <f>IF(B3223&lt;&gt;"",IF(AND(B3223&gt;=_TM1,B3223&lt;=_TM2,OR(TH!L3223="1111",TH!M3223="1111")),TH!D3223,""),"")</f>
        <v/>
      </c>
      <c r="B3223" s="896">
        <f t="shared" si="168"/>
        <v>10</v>
      </c>
      <c r="C3223" s="897">
        <f t="shared" si="169"/>
        <v>42649</v>
      </c>
      <c r="D3223" s="897" t="s">
        <v>1580</v>
      </c>
      <c r="E3223" s="963">
        <v>42649</v>
      </c>
      <c r="F3223" s="870" t="s">
        <v>1335</v>
      </c>
      <c r="G3223" s="871" t="s">
        <v>1333</v>
      </c>
      <c r="H3223" s="965" t="s">
        <v>1328</v>
      </c>
      <c r="I3223" s="972">
        <v>1020</v>
      </c>
      <c r="J3223" s="972">
        <v>4808.7881259276046</v>
      </c>
      <c r="K3223" s="51">
        <f t="shared" si="170"/>
        <v>4904964</v>
      </c>
      <c r="L3223" s="966" t="s">
        <v>172</v>
      </c>
      <c r="M3223" s="966" t="s">
        <v>167</v>
      </c>
      <c r="N3223" s="52" t="str">
        <f>IF(AND('331-CT'!$E$7=TH!H3223,OR(L3223="331",M3223="331")),"331",IF(AND(OR(L3223="131",M3223="131"),H3223='131-CT'!$E$7),"131",""))</f>
        <v/>
      </c>
      <c r="O3223" s="857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65"/>
    </row>
    <row r="3224" spans="1:28" s="900" customFormat="1" ht="15.75" customHeight="1">
      <c r="A3224" s="895" t="str">
        <f>IF(B3224&lt;&gt;"",IF(AND(B3224&gt;=_TM1,B3224&lt;=_TM2,OR(TH!L3224="1111",TH!M3224="1111")),TH!D3224,""),"")</f>
        <v/>
      </c>
      <c r="B3224" s="896">
        <f t="shared" si="168"/>
        <v>10</v>
      </c>
      <c r="C3224" s="897">
        <f t="shared" si="169"/>
        <v>42651</v>
      </c>
      <c r="D3224" s="897" t="s">
        <v>1580</v>
      </c>
      <c r="E3224" s="869">
        <v>42651</v>
      </c>
      <c r="F3224" s="967" t="s">
        <v>1286</v>
      </c>
      <c r="G3224" s="871" t="s">
        <v>1336</v>
      </c>
      <c r="H3224" s="965" t="s">
        <v>1328</v>
      </c>
      <c r="I3224" s="972">
        <v>926</v>
      </c>
      <c r="J3224" s="972">
        <v>6917.9057250186588</v>
      </c>
      <c r="K3224" s="51">
        <f t="shared" si="170"/>
        <v>6405981</v>
      </c>
      <c r="L3224" s="966" t="s">
        <v>172</v>
      </c>
      <c r="M3224" s="966" t="s">
        <v>167</v>
      </c>
      <c r="N3224" s="52" t="str">
        <f>IF(AND('331-CT'!$E$7=TH!H3224,OR(L3224="331",M3224="331")),"331",IF(AND(OR(L3224="131",M3224="131"),H3224='131-CT'!$E$7),"131",""))</f>
        <v/>
      </c>
      <c r="O3224" s="857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65"/>
    </row>
    <row r="3225" spans="1:28" s="900" customFormat="1" ht="15.75" customHeight="1">
      <c r="A3225" s="895" t="str">
        <f>IF(B3225&lt;&gt;"",IF(AND(B3225&gt;=_TM1,B3225&lt;=_TM2,OR(TH!L3225="1111",TH!M3225="1111")),TH!D3225,""),"")</f>
        <v/>
      </c>
      <c r="B3225" s="896">
        <f t="shared" si="168"/>
        <v>10</v>
      </c>
      <c r="C3225" s="897">
        <f t="shared" si="169"/>
        <v>42651</v>
      </c>
      <c r="D3225" s="897" t="s">
        <v>1580</v>
      </c>
      <c r="E3225" s="869">
        <v>42651</v>
      </c>
      <c r="F3225" s="967" t="s">
        <v>1337</v>
      </c>
      <c r="G3225" s="871" t="s">
        <v>854</v>
      </c>
      <c r="H3225" s="965" t="s">
        <v>1328</v>
      </c>
      <c r="I3225" s="972">
        <v>140</v>
      </c>
      <c r="J3225" s="972">
        <v>10461.223291491631</v>
      </c>
      <c r="K3225" s="51">
        <f t="shared" si="170"/>
        <v>1464571</v>
      </c>
      <c r="L3225" s="966" t="s">
        <v>172</v>
      </c>
      <c r="M3225" s="966" t="s">
        <v>167</v>
      </c>
      <c r="N3225" s="52" t="str">
        <f>IF(AND('331-CT'!$E$7=TH!H3225,OR(L3225="331",M3225="331")),"331",IF(AND(OR(L3225="131",M3225="131"),H3225='131-CT'!$E$7),"131",""))</f>
        <v/>
      </c>
      <c r="O3225" s="857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65"/>
    </row>
    <row r="3226" spans="1:28" s="900" customFormat="1" ht="15.75" customHeight="1">
      <c r="A3226" s="895" t="str">
        <f>IF(B3226&lt;&gt;"",IF(AND(B3226&gt;=_TM1,B3226&lt;=_TM2,OR(TH!L3226="1111",TH!M3226="1111")),TH!D3226,""),"")</f>
        <v/>
      </c>
      <c r="B3226" s="896">
        <f t="shared" si="168"/>
        <v>10</v>
      </c>
      <c r="C3226" s="897">
        <f t="shared" si="169"/>
        <v>42651</v>
      </c>
      <c r="D3226" s="897" t="s">
        <v>1580</v>
      </c>
      <c r="E3226" s="869">
        <v>42651</v>
      </c>
      <c r="F3226" s="967" t="s">
        <v>1338</v>
      </c>
      <c r="G3226" s="871" t="s">
        <v>854</v>
      </c>
      <c r="H3226" s="965" t="s">
        <v>1328</v>
      </c>
      <c r="I3226" s="972">
        <v>140</v>
      </c>
      <c r="J3226" s="972">
        <v>12823.435002473612</v>
      </c>
      <c r="K3226" s="51">
        <f t="shared" si="170"/>
        <v>1795281</v>
      </c>
      <c r="L3226" s="966" t="s">
        <v>172</v>
      </c>
      <c r="M3226" s="966" t="s">
        <v>167</v>
      </c>
      <c r="N3226" s="52" t="str">
        <f>IF(AND('331-CT'!$E$7=TH!H3226,OR(L3226="331",M3226="331")),"331",IF(AND(OR(L3226="131",M3226="131"),H3226='131-CT'!$E$7),"131",""))</f>
        <v/>
      </c>
      <c r="O3226" s="857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65"/>
    </row>
    <row r="3227" spans="1:28" s="900" customFormat="1" ht="15.75" customHeight="1">
      <c r="A3227" s="895" t="str">
        <f>IF(B3227&lt;&gt;"",IF(AND(B3227&gt;=_TM1,B3227&lt;=_TM2,OR(TH!L3227="1111",TH!M3227="1111")),TH!D3227,""),"")</f>
        <v/>
      </c>
      <c r="B3227" s="896">
        <f t="shared" si="168"/>
        <v>10</v>
      </c>
      <c r="C3227" s="897">
        <f t="shared" si="169"/>
        <v>42651</v>
      </c>
      <c r="D3227" s="897" t="s">
        <v>1580</v>
      </c>
      <c r="E3227" s="869">
        <v>42651</v>
      </c>
      <c r="F3227" s="967" t="s">
        <v>1341</v>
      </c>
      <c r="G3227" s="871" t="s">
        <v>854</v>
      </c>
      <c r="H3227" s="965" t="s">
        <v>1328</v>
      </c>
      <c r="I3227" s="972">
        <v>140</v>
      </c>
      <c r="J3227" s="972">
        <v>9195.7527320369991</v>
      </c>
      <c r="K3227" s="51">
        <f t="shared" si="170"/>
        <v>1287405</v>
      </c>
      <c r="L3227" s="966" t="s">
        <v>172</v>
      </c>
      <c r="M3227" s="966" t="s">
        <v>167</v>
      </c>
      <c r="N3227" s="52" t="str">
        <f>IF(AND('331-CT'!$E$7=TH!H3227,OR(L3227="331",M3227="331")),"331",IF(AND(OR(L3227="131",M3227="131"),H3227='131-CT'!$E$7),"131",""))</f>
        <v/>
      </c>
      <c r="O3227" s="857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65"/>
    </row>
    <row r="3228" spans="1:28" s="900" customFormat="1" ht="15.75" customHeight="1">
      <c r="A3228" s="895" t="str">
        <f>IF(B3228&lt;&gt;"",IF(AND(B3228&gt;=_TM1,B3228&lt;=_TM2,OR(TH!L3228="1111",TH!M3228="1111")),TH!D3228,""),"")</f>
        <v/>
      </c>
      <c r="B3228" s="896">
        <f t="shared" si="168"/>
        <v>10</v>
      </c>
      <c r="C3228" s="897">
        <f t="shared" si="169"/>
        <v>42651</v>
      </c>
      <c r="D3228" s="897" t="s">
        <v>1580</v>
      </c>
      <c r="E3228" s="869">
        <v>42651</v>
      </c>
      <c r="F3228" s="967" t="s">
        <v>1339</v>
      </c>
      <c r="G3228" s="871" t="s">
        <v>854</v>
      </c>
      <c r="H3228" s="965" t="s">
        <v>1328</v>
      </c>
      <c r="I3228" s="972">
        <v>140</v>
      </c>
      <c r="J3228" s="972">
        <v>10208.129179600704</v>
      </c>
      <c r="K3228" s="51">
        <f t="shared" si="170"/>
        <v>1429138</v>
      </c>
      <c r="L3228" s="966" t="s">
        <v>172</v>
      </c>
      <c r="M3228" s="966" t="s">
        <v>167</v>
      </c>
      <c r="N3228" s="52" t="str">
        <f>IF(AND('331-CT'!$E$7=TH!H3228,OR(L3228="331",M3228="331")),"331",IF(AND(OR(L3228="131",M3228="131"),H3228='131-CT'!$E$7),"131",""))</f>
        <v/>
      </c>
      <c r="O3228" s="857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65"/>
    </row>
    <row r="3229" spans="1:28" s="900" customFormat="1" ht="15.75" customHeight="1">
      <c r="A3229" s="895" t="str">
        <f>IF(B3229&lt;&gt;"",IF(AND(B3229&gt;=_TM1,B3229&lt;=_TM2,OR(TH!L3229="1111",TH!M3229="1111")),TH!D3229,""),"")</f>
        <v/>
      </c>
      <c r="B3229" s="896">
        <f t="shared" si="168"/>
        <v>10</v>
      </c>
      <c r="C3229" s="897">
        <f t="shared" si="169"/>
        <v>42651</v>
      </c>
      <c r="D3229" s="897" t="s">
        <v>1580</v>
      </c>
      <c r="E3229" s="869">
        <v>42651</v>
      </c>
      <c r="F3229" s="967" t="s">
        <v>1340</v>
      </c>
      <c r="G3229" s="871" t="s">
        <v>854</v>
      </c>
      <c r="H3229" s="965" t="s">
        <v>1328</v>
      </c>
      <c r="I3229" s="254">
        <v>400</v>
      </c>
      <c r="J3229" s="254">
        <v>11220.505627164412</v>
      </c>
      <c r="K3229" s="51">
        <f t="shared" si="170"/>
        <v>4488202</v>
      </c>
      <c r="L3229" s="966" t="s">
        <v>172</v>
      </c>
      <c r="M3229" s="966" t="s">
        <v>167</v>
      </c>
      <c r="N3229" s="52" t="str">
        <f>IF(AND('331-CT'!$E$7=TH!H3229,OR(L3229="331",M3229="331")),"331",IF(AND(OR(L3229="131",M3229="131"),H3229='131-CT'!$E$7),"131",""))</f>
        <v/>
      </c>
      <c r="O3229" s="857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65"/>
    </row>
    <row r="3230" spans="1:28" s="900" customFormat="1" ht="15.75" customHeight="1">
      <c r="A3230" s="895" t="str">
        <f>IF(B3230&lt;&gt;"",IF(AND(B3230&gt;=_TM1,B3230&lt;=_TM2,OR(TH!L3230="1111",TH!M3230="1111")),TH!D3230,""),"")</f>
        <v/>
      </c>
      <c r="B3230" s="896">
        <f t="shared" si="168"/>
        <v>10</v>
      </c>
      <c r="C3230" s="897">
        <f t="shared" si="169"/>
        <v>42651</v>
      </c>
      <c r="D3230" s="897" t="s">
        <v>1580</v>
      </c>
      <c r="E3230" s="963">
        <v>42651</v>
      </c>
      <c r="F3230" s="967" t="s">
        <v>1467</v>
      </c>
      <c r="G3230" s="871" t="s">
        <v>854</v>
      </c>
      <c r="H3230" s="965" t="s">
        <v>1328</v>
      </c>
      <c r="I3230" s="254">
        <v>100</v>
      </c>
      <c r="J3230" s="254">
        <v>17632.223128401216</v>
      </c>
      <c r="K3230" s="51">
        <f t="shared" si="170"/>
        <v>1763222</v>
      </c>
      <c r="L3230" s="966" t="s">
        <v>172</v>
      </c>
      <c r="M3230" s="966" t="s">
        <v>167</v>
      </c>
      <c r="N3230" s="52" t="str">
        <f>IF(AND('331-CT'!$E$7=TH!H3230,OR(L3230="331",M3230="331")),"331",IF(AND(OR(L3230="131",M3230="131"),H3230='131-CT'!$E$7),"131",""))</f>
        <v/>
      </c>
      <c r="O3230" s="857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65"/>
    </row>
    <row r="3231" spans="1:28" s="900" customFormat="1" ht="15.75" customHeight="1">
      <c r="A3231" s="895" t="str">
        <f>IF(B3231&lt;&gt;"",IF(AND(B3231&gt;=_TM1,B3231&lt;=_TM2,OR(TH!L3231="1111",TH!M3231="1111")),TH!D3231,""),"")</f>
        <v/>
      </c>
      <c r="B3231" s="896">
        <f t="shared" si="168"/>
        <v>10</v>
      </c>
      <c r="C3231" s="897">
        <f t="shared" si="169"/>
        <v>42651</v>
      </c>
      <c r="D3231" s="897" t="s">
        <v>1580</v>
      </c>
      <c r="E3231" s="963">
        <v>42651</v>
      </c>
      <c r="F3231" s="967" t="s">
        <v>1477</v>
      </c>
      <c r="G3231" s="871" t="s">
        <v>854</v>
      </c>
      <c r="H3231" s="965" t="s">
        <v>1328</v>
      </c>
      <c r="I3231" s="972">
        <v>170</v>
      </c>
      <c r="J3231" s="972">
        <v>17632.223128401216</v>
      </c>
      <c r="K3231" s="51">
        <f t="shared" si="170"/>
        <v>2997478</v>
      </c>
      <c r="L3231" s="966" t="s">
        <v>172</v>
      </c>
      <c r="M3231" s="966" t="s">
        <v>167</v>
      </c>
      <c r="N3231" s="52" t="str">
        <f>IF(AND('331-CT'!$E$7=TH!H3231,OR(L3231="331",M3231="331")),"331",IF(AND(OR(L3231="131",M3231="131"),H3231='131-CT'!$E$7),"131",""))</f>
        <v/>
      </c>
      <c r="O3231" s="857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65"/>
    </row>
    <row r="3232" spans="1:28" s="900" customFormat="1" ht="15.75" customHeight="1">
      <c r="A3232" s="895" t="str">
        <f>IF(B3232&lt;&gt;"",IF(AND(B3232&gt;=_TM1,B3232&lt;=_TM2,OR(TH!L3232="1111",TH!M3232="1111")),TH!D3232,""),"")</f>
        <v/>
      </c>
      <c r="B3232" s="896">
        <f t="shared" si="168"/>
        <v>10</v>
      </c>
      <c r="C3232" s="897">
        <f t="shared" si="169"/>
        <v>42653</v>
      </c>
      <c r="D3232" s="897" t="s">
        <v>1580</v>
      </c>
      <c r="E3232" s="963">
        <v>42653</v>
      </c>
      <c r="F3232" s="967" t="s">
        <v>1286</v>
      </c>
      <c r="G3232" s="871" t="s">
        <v>1575</v>
      </c>
      <c r="H3232" s="965" t="s">
        <v>1328</v>
      </c>
      <c r="I3232" s="254">
        <v>320</v>
      </c>
      <c r="J3232" s="254">
        <v>6917.9057250186588</v>
      </c>
      <c r="K3232" s="51">
        <f t="shared" si="170"/>
        <v>2213730</v>
      </c>
      <c r="L3232" s="966" t="s">
        <v>172</v>
      </c>
      <c r="M3232" s="966" t="s">
        <v>167</v>
      </c>
      <c r="N3232" s="52" t="str">
        <f>IF(AND('331-CT'!$E$7=TH!H3232,OR(L3232="331",M3232="331")),"331",IF(AND(OR(L3232="131",M3232="131"),H3232='131-CT'!$E$7),"131",""))</f>
        <v/>
      </c>
      <c r="O3232" s="857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65"/>
    </row>
    <row r="3233" spans="1:28" s="900" customFormat="1" ht="15.75" customHeight="1">
      <c r="A3233" s="895" t="str">
        <f>IF(B3233&lt;&gt;"",IF(AND(B3233&gt;=_TM1,B3233&lt;=_TM2,OR(TH!L3233="1111",TH!M3233="1111")),TH!D3233,""),"")</f>
        <v/>
      </c>
      <c r="B3233" s="896">
        <f t="shared" si="168"/>
        <v>10</v>
      </c>
      <c r="C3233" s="897">
        <f t="shared" si="169"/>
        <v>42653</v>
      </c>
      <c r="D3233" s="897" t="s">
        <v>1580</v>
      </c>
      <c r="E3233" s="963">
        <v>42653</v>
      </c>
      <c r="F3233" s="967" t="s">
        <v>471</v>
      </c>
      <c r="G3233" s="871" t="s">
        <v>1575</v>
      </c>
      <c r="H3233" s="965" t="s">
        <v>1328</v>
      </c>
      <c r="I3233" s="254">
        <v>659</v>
      </c>
      <c r="J3233" s="254">
        <v>13329.623226255466</v>
      </c>
      <c r="K3233" s="51">
        <f t="shared" si="170"/>
        <v>8784222</v>
      </c>
      <c r="L3233" s="966" t="s">
        <v>172</v>
      </c>
      <c r="M3233" s="966" t="s">
        <v>167</v>
      </c>
      <c r="N3233" s="52" t="str">
        <f>IF(AND('331-CT'!$E$7=TH!H3233,OR(L3233="331",M3233="331")),"331",IF(AND(OR(L3233="131",M3233="131"),H3233='131-CT'!$E$7),"131",""))</f>
        <v/>
      </c>
      <c r="O3233" s="857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765"/>
    </row>
    <row r="3234" spans="1:28" s="900" customFormat="1" ht="15.75" customHeight="1">
      <c r="A3234" s="895" t="str">
        <f>IF(B3234&lt;&gt;"",IF(AND(B3234&gt;=_TM1,B3234&lt;=_TM2,OR(TH!L3234="1111",TH!M3234="1111")),TH!D3234,""),"")</f>
        <v/>
      </c>
      <c r="B3234" s="896">
        <f t="shared" si="168"/>
        <v>10</v>
      </c>
      <c r="C3234" s="897">
        <f t="shared" si="169"/>
        <v>42655</v>
      </c>
      <c r="D3234" s="897" t="s">
        <v>1580</v>
      </c>
      <c r="E3234" s="963">
        <v>42655</v>
      </c>
      <c r="F3234" s="967" t="s">
        <v>448</v>
      </c>
      <c r="G3234" s="871" t="s">
        <v>1342</v>
      </c>
      <c r="H3234" s="965" t="s">
        <v>1328</v>
      </c>
      <c r="I3234" s="254">
        <v>150</v>
      </c>
      <c r="J3234" s="254">
        <v>61164.410373640589</v>
      </c>
      <c r="K3234" s="51">
        <f t="shared" si="170"/>
        <v>9174662</v>
      </c>
      <c r="L3234" s="966" t="s">
        <v>172</v>
      </c>
      <c r="M3234" s="966" t="s">
        <v>167</v>
      </c>
      <c r="N3234" s="52" t="str">
        <f>IF(AND('331-CT'!$E$7=TH!H3234,OR(L3234="331",M3234="331")),"331",IF(AND(OR(L3234="131",M3234="131"),H3234='131-CT'!$E$7),"131",""))</f>
        <v/>
      </c>
      <c r="O3234" s="857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765"/>
    </row>
    <row r="3235" spans="1:28" s="900" customFormat="1" ht="15.75" customHeight="1">
      <c r="A3235" s="895" t="str">
        <f>IF(B3235&lt;&gt;"",IF(AND(B3235&gt;=_TM1,B3235&lt;=_TM2,OR(TH!L3235="1111",TH!M3235="1111")),TH!D3235,""),"")</f>
        <v/>
      </c>
      <c r="B3235" s="896">
        <f t="shared" si="168"/>
        <v>10</v>
      </c>
      <c r="C3235" s="897">
        <f t="shared" si="169"/>
        <v>42656</v>
      </c>
      <c r="D3235" s="897" t="s">
        <v>1580</v>
      </c>
      <c r="E3235" s="963">
        <v>42656</v>
      </c>
      <c r="F3235" s="964" t="s">
        <v>1474</v>
      </c>
      <c r="G3235" s="904" t="s">
        <v>1343</v>
      </c>
      <c r="H3235" s="965" t="s">
        <v>1328</v>
      </c>
      <c r="I3235" s="254">
        <v>520</v>
      </c>
      <c r="J3235" s="254">
        <v>8014.6468765460077</v>
      </c>
      <c r="K3235" s="51">
        <f t="shared" si="170"/>
        <v>4167616</v>
      </c>
      <c r="L3235" s="966" t="s">
        <v>172</v>
      </c>
      <c r="M3235" s="966" t="s">
        <v>167</v>
      </c>
      <c r="N3235" s="52" t="str">
        <f>IF(AND('331-CT'!$E$7=TH!H3235,OR(L3235="331",M3235="331")),"331",IF(AND(OR(L3235="131",M3235="131"),H3235='131-CT'!$E$7),"131",""))</f>
        <v/>
      </c>
      <c r="O3235" s="857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765"/>
    </row>
    <row r="3236" spans="1:28" s="900" customFormat="1" ht="15.75" customHeight="1">
      <c r="A3236" s="895" t="str">
        <f>IF(B3236&lt;&gt;"",IF(AND(B3236&gt;=_TM1,B3236&lt;=_TM2,OR(TH!L3236="1111",TH!M3236="1111")),TH!D3236,""),"")</f>
        <v/>
      </c>
      <c r="B3236" s="896">
        <f t="shared" si="168"/>
        <v>10</v>
      </c>
      <c r="C3236" s="897">
        <f t="shared" si="169"/>
        <v>42656</v>
      </c>
      <c r="D3236" s="897" t="s">
        <v>1580</v>
      </c>
      <c r="E3236" s="963">
        <v>42656</v>
      </c>
      <c r="F3236" s="964" t="s">
        <v>1344</v>
      </c>
      <c r="G3236" s="904" t="s">
        <v>1343</v>
      </c>
      <c r="H3236" s="965" t="s">
        <v>1328</v>
      </c>
      <c r="I3236" s="968">
        <v>50</v>
      </c>
      <c r="J3236" s="254">
        <v>4640.0587180003204</v>
      </c>
      <c r="K3236" s="51">
        <f t="shared" si="170"/>
        <v>232003</v>
      </c>
      <c r="L3236" s="966" t="s">
        <v>172</v>
      </c>
      <c r="M3236" s="966" t="s">
        <v>167</v>
      </c>
      <c r="N3236" s="52" t="str">
        <f>IF(AND('331-CT'!$E$7=TH!H3236,OR(L3236="331",M3236="331")),"331",IF(AND(OR(L3236="131",M3236="131"),H3236='131-CT'!$E$7),"131",""))</f>
        <v/>
      </c>
      <c r="O3236" s="857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765"/>
    </row>
    <row r="3237" spans="1:28" s="900" customFormat="1" ht="15.75" customHeight="1">
      <c r="A3237" s="895" t="str">
        <f>IF(B3237&lt;&gt;"",IF(AND(B3237&gt;=_TM1,B3237&lt;=_TM2,OR(TH!L3237="1111",TH!M3237="1111")),TH!D3237,""),"")</f>
        <v/>
      </c>
      <c r="B3237" s="896">
        <f t="shared" si="168"/>
        <v>10</v>
      </c>
      <c r="C3237" s="897">
        <f t="shared" si="169"/>
        <v>42656</v>
      </c>
      <c r="D3237" s="897" t="s">
        <v>1580</v>
      </c>
      <c r="E3237" s="869">
        <v>42656</v>
      </c>
      <c r="F3237" s="964" t="s">
        <v>1346</v>
      </c>
      <c r="G3237" s="904" t="s">
        <v>1345</v>
      </c>
      <c r="H3237" s="965" t="s">
        <v>1328</v>
      </c>
      <c r="I3237" s="254">
        <v>996</v>
      </c>
      <c r="J3237" s="254">
        <v>4724.4234219639629</v>
      </c>
      <c r="K3237" s="51">
        <f t="shared" si="170"/>
        <v>4705526</v>
      </c>
      <c r="L3237" s="966" t="s">
        <v>172</v>
      </c>
      <c r="M3237" s="966" t="s">
        <v>167</v>
      </c>
      <c r="N3237" s="52" t="str">
        <f>IF(AND('331-CT'!$E$7=TH!H3237,OR(L3237="331",M3237="331")),"331",IF(AND(OR(L3237="131",M3237="131"),H3237='131-CT'!$E$7),"131",""))</f>
        <v/>
      </c>
      <c r="O3237" s="857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765"/>
    </row>
    <row r="3238" spans="1:28" s="900" customFormat="1" ht="15.75" customHeight="1">
      <c r="A3238" s="895" t="str">
        <f>IF(B3238&lt;&gt;"",IF(AND(B3238&gt;=_TM1,B3238&lt;=_TM2,OR(TH!L3238="1111",TH!M3238="1111")),TH!D3238,""),"")</f>
        <v/>
      </c>
      <c r="B3238" s="896">
        <f t="shared" si="168"/>
        <v>10</v>
      </c>
      <c r="C3238" s="897">
        <f t="shared" si="169"/>
        <v>42661</v>
      </c>
      <c r="D3238" s="897" t="s">
        <v>1580</v>
      </c>
      <c r="E3238" s="869">
        <v>42661</v>
      </c>
      <c r="F3238" s="964" t="s">
        <v>1348</v>
      </c>
      <c r="G3238" s="904" t="s">
        <v>1347</v>
      </c>
      <c r="H3238" s="965" t="s">
        <v>1328</v>
      </c>
      <c r="I3238" s="254">
        <v>510</v>
      </c>
      <c r="J3238" s="254">
        <v>6158.6233893458793</v>
      </c>
      <c r="K3238" s="51">
        <f t="shared" si="170"/>
        <v>3140898</v>
      </c>
      <c r="L3238" s="966" t="s">
        <v>172</v>
      </c>
      <c r="M3238" s="966" t="s">
        <v>167</v>
      </c>
      <c r="N3238" s="52" t="str">
        <f>IF(AND('331-CT'!$E$7=TH!H3238,OR(L3238="331",M3238="331")),"331",IF(AND(OR(L3238="131",M3238="131"),H3238='131-CT'!$E$7),"131",""))</f>
        <v/>
      </c>
      <c r="O3238" s="857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765"/>
    </row>
    <row r="3239" spans="1:28" s="900" customFormat="1" ht="15.75" customHeight="1">
      <c r="A3239" s="895" t="str">
        <f>IF(B3239&lt;&gt;"",IF(AND(B3239&gt;=_TM1,B3239&lt;=_TM2,OR(TH!L3239="1111",TH!M3239="1111")),TH!D3239,""),"")</f>
        <v/>
      </c>
      <c r="B3239" s="896">
        <f t="shared" si="168"/>
        <v>10</v>
      </c>
      <c r="C3239" s="897">
        <f t="shared" si="169"/>
        <v>42661</v>
      </c>
      <c r="D3239" s="897" t="s">
        <v>1580</v>
      </c>
      <c r="E3239" s="869">
        <v>42661</v>
      </c>
      <c r="F3239" s="964" t="s">
        <v>1351</v>
      </c>
      <c r="G3239" s="904" t="s">
        <v>1349</v>
      </c>
      <c r="H3239" s="965" t="s">
        <v>1328</v>
      </c>
      <c r="I3239" s="254">
        <v>5070</v>
      </c>
      <c r="J3239" s="254">
        <v>1856.0234872001281</v>
      </c>
      <c r="K3239" s="51">
        <f t="shared" si="170"/>
        <v>9410039</v>
      </c>
      <c r="L3239" s="966" t="s">
        <v>172</v>
      </c>
      <c r="M3239" s="966" t="s">
        <v>167</v>
      </c>
      <c r="N3239" s="52" t="str">
        <f>IF(AND('331-CT'!$E$7=TH!H3239,OR(L3239="331",M3239="331")),"331",IF(AND(OR(L3239="131",M3239="131"),H3239='131-CT'!$E$7),"131",""))</f>
        <v/>
      </c>
      <c r="O3239" s="857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765"/>
    </row>
    <row r="3240" spans="1:28" s="900" customFormat="1" ht="15.75" customHeight="1">
      <c r="A3240" s="895" t="str">
        <f>IF(B3240&lt;&gt;"",IF(AND(B3240&gt;=_TM1,B3240&lt;=_TM2,OR(TH!L3240="1111",TH!M3240="1111")),TH!D3240,""),"")</f>
        <v/>
      </c>
      <c r="B3240" s="896">
        <f t="shared" si="168"/>
        <v>10</v>
      </c>
      <c r="C3240" s="897">
        <f t="shared" si="169"/>
        <v>42661</v>
      </c>
      <c r="D3240" s="897" t="s">
        <v>1580</v>
      </c>
      <c r="E3240" s="869">
        <v>42661</v>
      </c>
      <c r="F3240" s="964" t="s">
        <v>1352</v>
      </c>
      <c r="G3240" s="904" t="s">
        <v>1349</v>
      </c>
      <c r="H3240" s="965" t="s">
        <v>1328</v>
      </c>
      <c r="I3240" s="972">
        <v>500</v>
      </c>
      <c r="J3240" s="972">
        <v>12654.705594546329</v>
      </c>
      <c r="K3240" s="51">
        <f t="shared" si="170"/>
        <v>6327353</v>
      </c>
      <c r="L3240" s="966" t="s">
        <v>172</v>
      </c>
      <c r="M3240" s="966" t="s">
        <v>167</v>
      </c>
      <c r="N3240" s="52" t="str">
        <f>IF(AND('331-CT'!$E$7=TH!H3240,OR(L3240="331",M3240="331")),"331",IF(AND(OR(L3240="131",M3240="131"),H3240='131-CT'!$E$7),"131",""))</f>
        <v/>
      </c>
      <c r="O3240" s="857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765"/>
    </row>
    <row r="3241" spans="1:28" s="900" customFormat="1" ht="15.75" customHeight="1">
      <c r="A3241" s="895" t="str">
        <f>IF(B3241&lt;&gt;"",IF(AND(B3241&gt;=_TM1,B3241&lt;=_TM2,OR(TH!L3241="1111",TH!M3241="1111")),TH!D3241,""),"")</f>
        <v/>
      </c>
      <c r="B3241" s="896">
        <f t="shared" si="168"/>
        <v>10</v>
      </c>
      <c r="C3241" s="897">
        <f t="shared" si="169"/>
        <v>42661</v>
      </c>
      <c r="D3241" s="897" t="s">
        <v>1580</v>
      </c>
      <c r="E3241" s="869">
        <v>42661</v>
      </c>
      <c r="F3241" s="967" t="s">
        <v>1356</v>
      </c>
      <c r="G3241" s="871" t="s">
        <v>1353</v>
      </c>
      <c r="H3241" s="965" t="s">
        <v>1328</v>
      </c>
      <c r="I3241" s="972">
        <v>400</v>
      </c>
      <c r="J3241" s="972">
        <v>6496.0822052004487</v>
      </c>
      <c r="K3241" s="51">
        <f t="shared" si="170"/>
        <v>2598433</v>
      </c>
      <c r="L3241" s="966" t="s">
        <v>172</v>
      </c>
      <c r="M3241" s="966" t="s">
        <v>167</v>
      </c>
      <c r="N3241" s="52" t="str">
        <f>IF(AND('331-CT'!$E$7=TH!H3241,OR(L3241="331",M3241="331")),"331",IF(AND(OR(L3241="131",M3241="131"),H3241='131-CT'!$E$7),"131",""))</f>
        <v/>
      </c>
      <c r="O3241" s="857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765"/>
    </row>
    <row r="3242" spans="1:28" s="900" customFormat="1" ht="15.75" customHeight="1">
      <c r="A3242" s="895" t="str">
        <f>IF(B3242&lt;&gt;"",IF(AND(B3242&gt;=_TM1,B3242&lt;=_TM2,OR(TH!L3242="1111",TH!M3242="1111")),TH!D3242,""),"")</f>
        <v/>
      </c>
      <c r="B3242" s="896">
        <f t="shared" si="168"/>
        <v>10</v>
      </c>
      <c r="C3242" s="897">
        <f t="shared" si="169"/>
        <v>42661</v>
      </c>
      <c r="D3242" s="897" t="s">
        <v>1580</v>
      </c>
      <c r="E3242" s="869">
        <v>42661</v>
      </c>
      <c r="F3242" s="967" t="s">
        <v>1357</v>
      </c>
      <c r="G3242" s="871" t="s">
        <v>1353</v>
      </c>
      <c r="H3242" s="965" t="s">
        <v>1328</v>
      </c>
      <c r="I3242" s="254">
        <v>338</v>
      </c>
      <c r="J3242" s="254">
        <v>8436.4703963642187</v>
      </c>
      <c r="K3242" s="51">
        <f t="shared" si="170"/>
        <v>2851527</v>
      </c>
      <c r="L3242" s="966" t="s">
        <v>172</v>
      </c>
      <c r="M3242" s="966" t="s">
        <v>167</v>
      </c>
      <c r="N3242" s="52" t="str">
        <f>IF(AND('331-CT'!$E$7=TH!H3242,OR(L3242="331",M3242="331")),"331",IF(AND(OR(L3242="131",M3242="131"),H3242='131-CT'!$E$7),"131",""))</f>
        <v/>
      </c>
      <c r="O3242" s="857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765"/>
    </row>
    <row r="3243" spans="1:28" s="900" customFormat="1" ht="15.75" customHeight="1">
      <c r="A3243" s="895" t="str">
        <f>IF(B3243&lt;&gt;"",IF(AND(B3243&gt;=_TM1,B3243&lt;=_TM2,OR(TH!L3243="1111",TH!M3243="1111")),TH!D3243,""),"")</f>
        <v/>
      </c>
      <c r="B3243" s="896">
        <f t="shared" si="168"/>
        <v>10</v>
      </c>
      <c r="C3243" s="897">
        <f t="shared" si="169"/>
        <v>42661</v>
      </c>
      <c r="D3243" s="897" t="s">
        <v>1580</v>
      </c>
      <c r="E3243" s="869">
        <v>42661</v>
      </c>
      <c r="F3243" s="870" t="s">
        <v>1358</v>
      </c>
      <c r="G3243" s="871" t="s">
        <v>1353</v>
      </c>
      <c r="H3243" s="965" t="s">
        <v>1328</v>
      </c>
      <c r="I3243" s="254">
        <v>400</v>
      </c>
      <c r="J3243" s="254">
        <v>5821.1645734913109</v>
      </c>
      <c r="K3243" s="51">
        <f t="shared" si="170"/>
        <v>2328466</v>
      </c>
      <c r="L3243" s="966" t="s">
        <v>172</v>
      </c>
      <c r="M3243" s="966" t="s">
        <v>167</v>
      </c>
      <c r="N3243" s="52" t="str">
        <f>IF(AND('331-CT'!$E$7=TH!H3243,OR(L3243="331",M3243="331")),"331",IF(AND(OR(L3243="131",M3243="131"),H3243='131-CT'!$E$7),"131",""))</f>
        <v/>
      </c>
      <c r="O3243" s="857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765"/>
    </row>
    <row r="3244" spans="1:28" s="900" customFormat="1" ht="15.75" customHeight="1">
      <c r="A3244" s="895" t="str">
        <f>IF(B3244&lt;&gt;"",IF(AND(B3244&gt;=_TM1,B3244&lt;=_TM2,OR(TH!L3244="1111",TH!M3244="1111")),TH!D3244,""),"")</f>
        <v/>
      </c>
      <c r="B3244" s="896">
        <f t="shared" si="168"/>
        <v>10</v>
      </c>
      <c r="C3244" s="897">
        <f t="shared" si="169"/>
        <v>42661</v>
      </c>
      <c r="D3244" s="897" t="s">
        <v>1580</v>
      </c>
      <c r="E3244" s="869">
        <v>42661</v>
      </c>
      <c r="F3244" s="870" t="s">
        <v>1360</v>
      </c>
      <c r="G3244" s="871" t="s">
        <v>1355</v>
      </c>
      <c r="H3244" s="965" t="s">
        <v>1328</v>
      </c>
      <c r="I3244" s="254">
        <v>203</v>
      </c>
      <c r="J3244" s="254">
        <v>6327.3527972731645</v>
      </c>
      <c r="K3244" s="51">
        <f t="shared" si="170"/>
        <v>1284453</v>
      </c>
      <c r="L3244" s="966" t="s">
        <v>172</v>
      </c>
      <c r="M3244" s="966" t="s">
        <v>167</v>
      </c>
      <c r="N3244" s="52" t="str">
        <f>IF(AND('331-CT'!$E$7=TH!H3244,OR(L3244="331",M3244="331")),"331",IF(AND(OR(L3244="131",M3244="131"),H3244='131-CT'!$E$7),"131",""))</f>
        <v/>
      </c>
      <c r="O3244" s="857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765"/>
    </row>
    <row r="3245" spans="1:28" s="900" customFormat="1" ht="15.75" customHeight="1">
      <c r="A3245" s="895" t="str">
        <f>IF(B3245&lt;&gt;"",IF(AND(B3245&gt;=_TM1,B3245&lt;=_TM2,OR(TH!L3245="1111",TH!M3245="1111")),TH!D3245,""),"")</f>
        <v/>
      </c>
      <c r="B3245" s="896">
        <f t="shared" si="168"/>
        <v>10</v>
      </c>
      <c r="C3245" s="897">
        <f t="shared" si="169"/>
        <v>42661</v>
      </c>
      <c r="D3245" s="897" t="s">
        <v>1580</v>
      </c>
      <c r="E3245" s="869">
        <v>42661</v>
      </c>
      <c r="F3245" s="870" t="s">
        <v>511</v>
      </c>
      <c r="G3245" s="871" t="s">
        <v>1355</v>
      </c>
      <c r="H3245" s="965" t="s">
        <v>1328</v>
      </c>
      <c r="I3245" s="254">
        <v>200</v>
      </c>
      <c r="J3245" s="254">
        <v>7002.2704289823014</v>
      </c>
      <c r="K3245" s="51">
        <f t="shared" si="170"/>
        <v>1400454</v>
      </c>
      <c r="L3245" s="966" t="s">
        <v>172</v>
      </c>
      <c r="M3245" s="966" t="s">
        <v>167</v>
      </c>
      <c r="N3245" s="52" t="str">
        <f>IF(AND('331-CT'!$E$7=TH!H3245,OR(L3245="331",M3245="331")),"331",IF(AND(OR(L3245="131",M3245="131"),H3245='131-CT'!$E$7),"131",""))</f>
        <v/>
      </c>
      <c r="O3245" s="857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765"/>
    </row>
    <row r="3246" spans="1:28" s="900" customFormat="1" ht="15.75" customHeight="1">
      <c r="A3246" s="895" t="str">
        <f>IF(B3246&lt;&gt;"",IF(AND(B3246&gt;=_TM1,B3246&lt;=_TM2,OR(TH!L3246="1111",TH!M3246="1111")),TH!D3246,""),"")</f>
        <v/>
      </c>
      <c r="B3246" s="896">
        <f t="shared" si="168"/>
        <v>10</v>
      </c>
      <c r="C3246" s="897">
        <f t="shared" si="169"/>
        <v>42662</v>
      </c>
      <c r="D3246" s="897" t="s">
        <v>1580</v>
      </c>
      <c r="E3246" s="869">
        <v>42662</v>
      </c>
      <c r="F3246" s="964" t="s">
        <v>1358</v>
      </c>
      <c r="G3246" s="871" t="s">
        <v>1361</v>
      </c>
      <c r="H3246" s="965" t="s">
        <v>1328</v>
      </c>
      <c r="I3246" s="254">
        <v>934</v>
      </c>
      <c r="J3246" s="254">
        <v>5821.1645734913109</v>
      </c>
      <c r="K3246" s="51">
        <f t="shared" si="170"/>
        <v>5436968</v>
      </c>
      <c r="L3246" s="966" t="s">
        <v>172</v>
      </c>
      <c r="M3246" s="966" t="s">
        <v>167</v>
      </c>
      <c r="N3246" s="52" t="str">
        <f>IF(AND('331-CT'!$E$7=TH!H3246,OR(L3246="331",M3246="331")),"331",IF(AND(OR(L3246="131",M3246="131"),H3246='131-CT'!$E$7),"131",""))</f>
        <v/>
      </c>
      <c r="O3246" s="857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765"/>
    </row>
    <row r="3247" spans="1:28" s="900" customFormat="1" ht="15.75" customHeight="1">
      <c r="A3247" s="895" t="str">
        <f>IF(B3247&lt;&gt;"",IF(AND(B3247&gt;=_TM1,B3247&lt;=_TM2,OR(TH!L3247="1111",TH!M3247="1111")),TH!D3247,""),"")</f>
        <v/>
      </c>
      <c r="B3247" s="896">
        <f t="shared" si="168"/>
        <v>10</v>
      </c>
      <c r="C3247" s="897">
        <f t="shared" si="169"/>
        <v>42662</v>
      </c>
      <c r="D3247" s="897" t="s">
        <v>1580</v>
      </c>
      <c r="E3247" s="869">
        <v>42662</v>
      </c>
      <c r="F3247" s="964" t="s">
        <v>1287</v>
      </c>
      <c r="G3247" s="871" t="s">
        <v>1362</v>
      </c>
      <c r="H3247" s="965" t="s">
        <v>1328</v>
      </c>
      <c r="I3247" s="254">
        <v>617</v>
      </c>
      <c r="J3247" s="254">
        <v>7677.1880606914392</v>
      </c>
      <c r="K3247" s="51">
        <f t="shared" si="170"/>
        <v>4736825</v>
      </c>
      <c r="L3247" s="966" t="s">
        <v>172</v>
      </c>
      <c r="M3247" s="966" t="s">
        <v>167</v>
      </c>
      <c r="N3247" s="52" t="str">
        <f>IF(AND('331-CT'!$E$7=TH!H3247,OR(L3247="331",M3247="331")),"331",IF(AND(OR(L3247="131",M3247="131"),H3247='131-CT'!$E$7),"131",""))</f>
        <v/>
      </c>
      <c r="O3247" s="857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765"/>
    </row>
    <row r="3248" spans="1:28" s="900" customFormat="1" ht="15.75" customHeight="1">
      <c r="A3248" s="895" t="str">
        <f>IF(B3248&lt;&gt;"",IF(AND(B3248&gt;=_TM1,B3248&lt;=_TM2,OR(TH!L3248="1111",TH!M3248="1111")),TH!D3248,""),"")</f>
        <v/>
      </c>
      <c r="B3248" s="896">
        <f t="shared" si="168"/>
        <v>10</v>
      </c>
      <c r="C3248" s="897">
        <f t="shared" si="169"/>
        <v>42662</v>
      </c>
      <c r="D3248" s="897" t="s">
        <v>1580</v>
      </c>
      <c r="E3248" s="869">
        <v>42662</v>
      </c>
      <c r="F3248" s="964" t="s">
        <v>656</v>
      </c>
      <c r="G3248" s="871" t="s">
        <v>1362</v>
      </c>
      <c r="H3248" s="965" t="s">
        <v>1328</v>
      </c>
      <c r="I3248" s="254">
        <v>322</v>
      </c>
      <c r="J3248" s="254">
        <v>12485.976186619044</v>
      </c>
      <c r="K3248" s="51">
        <f t="shared" si="170"/>
        <v>4020484</v>
      </c>
      <c r="L3248" s="966" t="s">
        <v>172</v>
      </c>
      <c r="M3248" s="966" t="s">
        <v>167</v>
      </c>
      <c r="N3248" s="52" t="str">
        <f>IF(AND('331-CT'!$E$7=TH!H3248,OR(L3248="331",M3248="331")),"331",IF(AND(OR(L3248="131",M3248="131"),H3248='131-CT'!$E$7),"131",""))</f>
        <v/>
      </c>
      <c r="O3248" s="857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765"/>
    </row>
    <row r="3249" spans="1:28" s="900" customFormat="1" ht="15.75" customHeight="1">
      <c r="A3249" s="895" t="str">
        <f>IF(B3249&lt;&gt;"",IF(AND(B3249&gt;=_TM1,B3249&lt;=_TM2,OR(TH!L3249="1111",TH!M3249="1111")),TH!D3249,""),"")</f>
        <v/>
      </c>
      <c r="B3249" s="896">
        <f t="shared" si="168"/>
        <v>10</v>
      </c>
      <c r="C3249" s="897">
        <f t="shared" si="169"/>
        <v>42664</v>
      </c>
      <c r="D3249" s="897" t="s">
        <v>1580</v>
      </c>
      <c r="E3249" s="869">
        <v>42664</v>
      </c>
      <c r="F3249" s="964" t="s">
        <v>1472</v>
      </c>
      <c r="G3249" s="871" t="s">
        <v>1363</v>
      </c>
      <c r="H3249" s="965" t="s">
        <v>1328</v>
      </c>
      <c r="I3249" s="254">
        <v>1800</v>
      </c>
      <c r="J3249" s="254">
        <v>3627.6822704366141</v>
      </c>
      <c r="K3249" s="51">
        <f t="shared" si="170"/>
        <v>6529828</v>
      </c>
      <c r="L3249" s="966" t="s">
        <v>172</v>
      </c>
      <c r="M3249" s="966" t="s">
        <v>167</v>
      </c>
      <c r="N3249" s="52" t="str">
        <f>IF(AND('331-CT'!$E$7=TH!H3249,OR(L3249="331",M3249="331")),"331",IF(AND(OR(L3249="131",M3249="131"),H3249='131-CT'!$E$7),"131",""))</f>
        <v/>
      </c>
      <c r="O3249" s="857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765"/>
    </row>
    <row r="3250" spans="1:28" s="900" customFormat="1" ht="15.75" customHeight="1">
      <c r="A3250" s="895" t="str">
        <f>IF(B3250&lt;&gt;"",IF(AND(B3250&gt;=_TM1,B3250&lt;=_TM2,OR(TH!L3250="1111",TH!M3250="1111")),TH!D3250,""),"")</f>
        <v/>
      </c>
      <c r="B3250" s="896">
        <f t="shared" si="168"/>
        <v>10</v>
      </c>
      <c r="C3250" s="897">
        <f t="shared" si="169"/>
        <v>42664</v>
      </c>
      <c r="D3250" s="897" t="s">
        <v>1580</v>
      </c>
      <c r="E3250" s="869">
        <v>42664</v>
      </c>
      <c r="F3250" s="964" t="s">
        <v>1338</v>
      </c>
      <c r="G3250" s="871" t="s">
        <v>1363</v>
      </c>
      <c r="H3250" s="965" t="s">
        <v>1328</v>
      </c>
      <c r="I3250" s="254">
        <v>30</v>
      </c>
      <c r="J3250" s="254">
        <v>12823.435002473612</v>
      </c>
      <c r="K3250" s="51">
        <f t="shared" si="170"/>
        <v>384703</v>
      </c>
      <c r="L3250" s="966" t="s">
        <v>172</v>
      </c>
      <c r="M3250" s="966" t="s">
        <v>167</v>
      </c>
      <c r="N3250" s="52" t="str">
        <f>IF(AND('331-CT'!$E$7=TH!H3250,OR(L3250="331",M3250="331")),"331",IF(AND(OR(L3250="131",M3250="131"),H3250='131-CT'!$E$7),"131",""))</f>
        <v/>
      </c>
      <c r="O3250" s="857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765"/>
    </row>
    <row r="3251" spans="1:28" s="900" customFormat="1" ht="15.75" customHeight="1">
      <c r="A3251" s="895" t="str">
        <f>IF(B3251&lt;&gt;"",IF(AND(B3251&gt;=_TM1,B3251&lt;=_TM2,OR(TH!L3251="1111",TH!M3251="1111")),TH!D3251,""),"")</f>
        <v/>
      </c>
      <c r="B3251" s="896">
        <f t="shared" si="168"/>
        <v>10</v>
      </c>
      <c r="C3251" s="897">
        <f t="shared" si="169"/>
        <v>42664</v>
      </c>
      <c r="D3251" s="897" t="s">
        <v>1580</v>
      </c>
      <c r="E3251" s="869">
        <v>42664</v>
      </c>
      <c r="F3251" s="964" t="s">
        <v>1338</v>
      </c>
      <c r="G3251" s="871" t="s">
        <v>1363</v>
      </c>
      <c r="H3251" s="965" t="s">
        <v>1328</v>
      </c>
      <c r="I3251" s="254">
        <v>30</v>
      </c>
      <c r="J3251" s="254">
        <v>12823.435002473612</v>
      </c>
      <c r="K3251" s="51">
        <f t="shared" si="170"/>
        <v>384703</v>
      </c>
      <c r="L3251" s="966" t="s">
        <v>172</v>
      </c>
      <c r="M3251" s="966" t="s">
        <v>167</v>
      </c>
      <c r="N3251" s="52" t="str">
        <f>IF(AND('331-CT'!$E$7=TH!H3251,OR(L3251="331",M3251="331")),"331",IF(AND(OR(L3251="131",M3251="131"),H3251='131-CT'!$E$7),"131",""))</f>
        <v/>
      </c>
      <c r="O3251" s="857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765"/>
    </row>
    <row r="3252" spans="1:28" s="900" customFormat="1" ht="15.75" customHeight="1">
      <c r="A3252" s="895" t="str">
        <f>IF(B3252&lt;&gt;"",IF(AND(B3252&gt;=_TM1,B3252&lt;=_TM2,OR(TH!L3252="1111",TH!M3252="1111")),TH!D3252,""),"")</f>
        <v/>
      </c>
      <c r="B3252" s="896">
        <f t="shared" si="168"/>
        <v>10</v>
      </c>
      <c r="C3252" s="897">
        <f t="shared" si="169"/>
        <v>42664</v>
      </c>
      <c r="D3252" s="897" t="s">
        <v>1580</v>
      </c>
      <c r="E3252" s="869">
        <v>42664</v>
      </c>
      <c r="F3252" s="870" t="s">
        <v>1341</v>
      </c>
      <c r="G3252" s="871" t="s">
        <v>1363</v>
      </c>
      <c r="H3252" s="965" t="s">
        <v>1328</v>
      </c>
      <c r="I3252" s="254">
        <v>30</v>
      </c>
      <c r="J3252" s="254">
        <v>9195.7527320369991</v>
      </c>
      <c r="K3252" s="51">
        <f t="shared" si="170"/>
        <v>275873</v>
      </c>
      <c r="L3252" s="966" t="s">
        <v>172</v>
      </c>
      <c r="M3252" s="966" t="s">
        <v>167</v>
      </c>
      <c r="N3252" s="52" t="str">
        <f>IF(AND('331-CT'!$E$7=TH!H3252,OR(L3252="331",M3252="331")),"331",IF(AND(OR(L3252="131",M3252="131"),H3252='131-CT'!$E$7),"131",""))</f>
        <v/>
      </c>
      <c r="O3252" s="857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765"/>
    </row>
    <row r="3253" spans="1:28" s="900" customFormat="1" ht="15.75" customHeight="1">
      <c r="A3253" s="895" t="str">
        <f>IF(B3253&lt;&gt;"",IF(AND(B3253&gt;=_TM1,B3253&lt;=_TM2,OR(TH!L3253="1111",TH!M3253="1111")),TH!D3253,""),"")</f>
        <v/>
      </c>
      <c r="B3253" s="896">
        <f t="shared" si="168"/>
        <v>10</v>
      </c>
      <c r="C3253" s="897">
        <f t="shared" si="169"/>
        <v>42664</v>
      </c>
      <c r="D3253" s="897" t="s">
        <v>1580</v>
      </c>
      <c r="E3253" s="869">
        <v>42664</v>
      </c>
      <c r="F3253" s="870" t="s">
        <v>1339</v>
      </c>
      <c r="G3253" s="871" t="s">
        <v>1363</v>
      </c>
      <c r="H3253" s="965" t="s">
        <v>1328</v>
      </c>
      <c r="I3253" s="254">
        <v>30</v>
      </c>
      <c r="J3253" s="254">
        <v>10208.129179600704</v>
      </c>
      <c r="K3253" s="51">
        <f t="shared" si="170"/>
        <v>306244</v>
      </c>
      <c r="L3253" s="966" t="s">
        <v>172</v>
      </c>
      <c r="M3253" s="966" t="s">
        <v>167</v>
      </c>
      <c r="N3253" s="52" t="str">
        <f>IF(AND('331-CT'!$E$7=TH!H3253,OR(L3253="331",M3253="331")),"331",IF(AND(OR(L3253="131",M3253="131"),H3253='131-CT'!$E$7),"131",""))</f>
        <v/>
      </c>
      <c r="O3253" s="857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765"/>
    </row>
    <row r="3254" spans="1:28" s="900" customFormat="1" ht="15.75" customHeight="1">
      <c r="A3254" s="895" t="str">
        <f>IF(B3254&lt;&gt;"",IF(AND(B3254&gt;=_TM1,B3254&lt;=_TM2,OR(TH!L3254="1111",TH!M3254="1111")),TH!D3254,""),"")</f>
        <v/>
      </c>
      <c r="B3254" s="896">
        <f t="shared" si="168"/>
        <v>10</v>
      </c>
      <c r="C3254" s="897">
        <f t="shared" si="169"/>
        <v>42664</v>
      </c>
      <c r="D3254" s="897" t="s">
        <v>1580</v>
      </c>
      <c r="E3254" s="869">
        <v>42664</v>
      </c>
      <c r="F3254" s="964" t="s">
        <v>1340</v>
      </c>
      <c r="G3254" s="871" t="s">
        <v>1363</v>
      </c>
      <c r="H3254" s="965" t="s">
        <v>1328</v>
      </c>
      <c r="I3254" s="254">
        <v>100</v>
      </c>
      <c r="J3254" s="254">
        <v>11220.505627164412</v>
      </c>
      <c r="K3254" s="51">
        <f t="shared" si="170"/>
        <v>1122051</v>
      </c>
      <c r="L3254" s="966" t="s">
        <v>172</v>
      </c>
      <c r="M3254" s="966" t="s">
        <v>167</v>
      </c>
      <c r="N3254" s="52" t="str">
        <f>IF(AND('331-CT'!$E$7=TH!H3254,OR(L3254="331",M3254="331")),"331",IF(AND(OR(L3254="131",M3254="131"),H3254='131-CT'!$E$7),"131",""))</f>
        <v/>
      </c>
      <c r="O3254" s="857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765"/>
    </row>
    <row r="3255" spans="1:28" s="900" customFormat="1" ht="15.75" customHeight="1">
      <c r="A3255" s="895" t="str">
        <f>IF(B3255&lt;&gt;"",IF(AND(B3255&gt;=_TM1,B3255&lt;=_TM2,OR(TH!L3255="1111",TH!M3255="1111")),TH!D3255,""),"")</f>
        <v/>
      </c>
      <c r="B3255" s="896">
        <f t="shared" si="168"/>
        <v>10</v>
      </c>
      <c r="C3255" s="897">
        <f t="shared" si="169"/>
        <v>42664</v>
      </c>
      <c r="D3255" s="897" t="s">
        <v>1580</v>
      </c>
      <c r="E3255" s="869">
        <v>42664</v>
      </c>
      <c r="F3255" s="964" t="s">
        <v>1467</v>
      </c>
      <c r="G3255" s="871" t="s">
        <v>1363</v>
      </c>
      <c r="H3255" s="965" t="s">
        <v>1328</v>
      </c>
      <c r="I3255" s="254">
        <v>30</v>
      </c>
      <c r="J3255" s="254">
        <v>17632.223128401216</v>
      </c>
      <c r="K3255" s="51">
        <f t="shared" si="170"/>
        <v>528967</v>
      </c>
      <c r="L3255" s="966" t="s">
        <v>172</v>
      </c>
      <c r="M3255" s="966" t="s">
        <v>167</v>
      </c>
      <c r="N3255" s="52" t="str">
        <f>IF(AND('331-CT'!$E$7=TH!H3255,OR(L3255="331",M3255="331")),"331",IF(AND(OR(L3255="131",M3255="131"),H3255='131-CT'!$E$7),"131",""))</f>
        <v/>
      </c>
      <c r="O3255" s="857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765"/>
    </row>
    <row r="3256" spans="1:28" s="900" customFormat="1" ht="15.75" customHeight="1">
      <c r="A3256" s="895" t="str">
        <f>IF(B3256&lt;&gt;"",IF(AND(B3256&gt;=_TM1,B3256&lt;=_TM2,OR(TH!L3256="1111",TH!M3256="1111")),TH!D3256,""),"")</f>
        <v/>
      </c>
      <c r="B3256" s="896">
        <f t="shared" si="168"/>
        <v>10</v>
      </c>
      <c r="C3256" s="897">
        <f t="shared" si="169"/>
        <v>42664</v>
      </c>
      <c r="D3256" s="897" t="s">
        <v>1580</v>
      </c>
      <c r="E3256" s="869">
        <v>42664</v>
      </c>
      <c r="F3256" s="870" t="s">
        <v>1477</v>
      </c>
      <c r="G3256" s="871" t="s">
        <v>1363</v>
      </c>
      <c r="H3256" s="965" t="s">
        <v>1328</v>
      </c>
      <c r="I3256" s="254">
        <v>70</v>
      </c>
      <c r="J3256" s="254">
        <v>17632.223128401216</v>
      </c>
      <c r="K3256" s="51">
        <f t="shared" si="170"/>
        <v>1234256</v>
      </c>
      <c r="L3256" s="966" t="s">
        <v>172</v>
      </c>
      <c r="M3256" s="966" t="s">
        <v>167</v>
      </c>
      <c r="N3256" s="52" t="str">
        <f>IF(AND('331-CT'!$E$7=TH!H3256,OR(L3256="331",M3256="331")),"331",IF(AND(OR(L3256="131",M3256="131"),H3256='131-CT'!$E$7),"131",""))</f>
        <v/>
      </c>
      <c r="O3256" s="857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765"/>
    </row>
    <row r="3257" spans="1:28" s="900" customFormat="1" ht="15.75" customHeight="1">
      <c r="A3257" s="895" t="str">
        <f>IF(B3257&lt;&gt;"",IF(AND(B3257&gt;=_TM1,B3257&lt;=_TM2,OR(TH!L3257="1111",TH!M3257="1111")),TH!D3257,""),"")</f>
        <v/>
      </c>
      <c r="B3257" s="896">
        <f t="shared" si="168"/>
        <v>10</v>
      </c>
      <c r="C3257" s="897">
        <f t="shared" si="169"/>
        <v>42665</v>
      </c>
      <c r="D3257" s="897" t="s">
        <v>1580</v>
      </c>
      <c r="E3257" s="869">
        <v>42665</v>
      </c>
      <c r="F3257" s="870" t="s">
        <v>1365</v>
      </c>
      <c r="G3257" s="871" t="s">
        <v>1364</v>
      </c>
      <c r="H3257" s="965" t="s">
        <v>1328</v>
      </c>
      <c r="I3257" s="254">
        <v>296</v>
      </c>
      <c r="J3257" s="254">
        <v>11304.870331128053</v>
      </c>
      <c r="K3257" s="51">
        <f t="shared" si="170"/>
        <v>3346242</v>
      </c>
      <c r="L3257" s="966" t="s">
        <v>172</v>
      </c>
      <c r="M3257" s="966" t="s">
        <v>167</v>
      </c>
      <c r="N3257" s="52" t="str">
        <f>IF(AND('331-CT'!$E$7=TH!H3257,OR(L3257="331",M3257="331")),"331",IF(AND(OR(L3257="131",M3257="131"),H3257='131-CT'!$E$7),"131",""))</f>
        <v/>
      </c>
      <c r="O3257" s="857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765"/>
    </row>
    <row r="3258" spans="1:28" s="900" customFormat="1" ht="15.75" customHeight="1">
      <c r="A3258" s="895" t="str">
        <f>IF(B3258&lt;&gt;"",IF(AND(B3258&gt;=_TM1,B3258&lt;=_TM2,OR(TH!L3258="1111",TH!M3258="1111")),TH!D3258,""),"")</f>
        <v/>
      </c>
      <c r="B3258" s="896">
        <f t="shared" ref="B3258:B3321" si="171">IF(C3258&lt;&gt;"",MONTH(C3258),"")</f>
        <v>10</v>
      </c>
      <c r="C3258" s="897">
        <f t="shared" si="169"/>
        <v>42665</v>
      </c>
      <c r="D3258" s="897" t="s">
        <v>1580</v>
      </c>
      <c r="E3258" s="869">
        <v>42665</v>
      </c>
      <c r="F3258" s="870" t="s">
        <v>1366</v>
      </c>
      <c r="G3258" s="871" t="s">
        <v>1364</v>
      </c>
      <c r="H3258" s="965" t="s">
        <v>1328</v>
      </c>
      <c r="I3258" s="254">
        <v>100</v>
      </c>
      <c r="J3258" s="254">
        <v>7845.9174686187234</v>
      </c>
      <c r="K3258" s="51">
        <f t="shared" si="170"/>
        <v>784592</v>
      </c>
      <c r="L3258" s="966" t="s">
        <v>172</v>
      </c>
      <c r="M3258" s="966" t="s">
        <v>167</v>
      </c>
      <c r="N3258" s="52" t="str">
        <f>IF(AND('331-CT'!$E$7=TH!H3258,OR(L3258="331",M3258="331")),"331",IF(AND(OR(L3258="131",M3258="131"),H3258='131-CT'!$E$7),"131",""))</f>
        <v/>
      </c>
      <c r="O3258" s="857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765"/>
    </row>
    <row r="3259" spans="1:28" s="900" customFormat="1" ht="15.75" customHeight="1">
      <c r="A3259" s="895" t="str">
        <f>IF(B3259&lt;&gt;"",IF(AND(B3259&gt;=_TM1,B3259&lt;=_TM2,OR(TH!L3259="1111",TH!M3259="1111")),TH!D3259,""),"")</f>
        <v/>
      </c>
      <c r="B3259" s="896">
        <f t="shared" si="171"/>
        <v>10</v>
      </c>
      <c r="C3259" s="897">
        <f t="shared" si="169"/>
        <v>42665</v>
      </c>
      <c r="D3259" s="897" t="s">
        <v>1580</v>
      </c>
      <c r="E3259" s="963">
        <v>42665</v>
      </c>
      <c r="F3259" s="964" t="s">
        <v>1367</v>
      </c>
      <c r="G3259" s="871" t="s">
        <v>1364</v>
      </c>
      <c r="H3259" s="965" t="s">
        <v>1328</v>
      </c>
      <c r="I3259" s="254">
        <v>52</v>
      </c>
      <c r="J3259" s="254">
        <v>8858.2939161824306</v>
      </c>
      <c r="K3259" s="51">
        <f t="shared" si="170"/>
        <v>460631</v>
      </c>
      <c r="L3259" s="966" t="s">
        <v>172</v>
      </c>
      <c r="M3259" s="966" t="s">
        <v>167</v>
      </c>
      <c r="N3259" s="52" t="str">
        <f>IF(AND('331-CT'!$E$7=TH!H3259,OR(L3259="331",M3259="331")),"331",IF(AND(OR(L3259="131",M3259="131"),H3259='131-CT'!$E$7),"131",""))</f>
        <v/>
      </c>
      <c r="O3259" s="857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765"/>
    </row>
    <row r="3260" spans="1:28" s="900" customFormat="1" ht="15.75" customHeight="1">
      <c r="A3260" s="895" t="str">
        <f>IF(B3260&lt;&gt;"",IF(AND(B3260&gt;=_TM1,B3260&lt;=_TM2,OR(TH!L3260="1111",TH!M3260="1111")),TH!D3260,""),"")</f>
        <v/>
      </c>
      <c r="B3260" s="896">
        <f t="shared" si="171"/>
        <v>10</v>
      </c>
      <c r="C3260" s="897">
        <f t="shared" si="169"/>
        <v>42665</v>
      </c>
      <c r="D3260" s="897" t="s">
        <v>1580</v>
      </c>
      <c r="E3260" s="963">
        <v>42665</v>
      </c>
      <c r="F3260" s="964" t="s">
        <v>1369</v>
      </c>
      <c r="G3260" s="871" t="s">
        <v>1368</v>
      </c>
      <c r="H3260" s="965" t="s">
        <v>1328</v>
      </c>
      <c r="I3260" s="254">
        <v>526</v>
      </c>
      <c r="J3260" s="254">
        <v>5230.6116457458156</v>
      </c>
      <c r="K3260" s="51">
        <f t="shared" si="170"/>
        <v>2751302</v>
      </c>
      <c r="L3260" s="966" t="s">
        <v>172</v>
      </c>
      <c r="M3260" s="966" t="s">
        <v>167</v>
      </c>
      <c r="N3260" s="52" t="str">
        <f>IF(AND('331-CT'!$E$7=TH!H3260,OR(L3260="331",M3260="331")),"331",IF(AND(OR(L3260="131",M3260="131"),H3260='131-CT'!$E$7),"131",""))</f>
        <v/>
      </c>
      <c r="O3260" s="857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765"/>
    </row>
    <row r="3261" spans="1:28" s="900" customFormat="1" ht="15.75" customHeight="1">
      <c r="A3261" s="895" t="str">
        <f>IF(B3261&lt;&gt;"",IF(AND(B3261&gt;=_TM1,B3261&lt;=_TM2,OR(TH!L3261="1111",TH!M3261="1111")),TH!D3261,""),"")</f>
        <v/>
      </c>
      <c r="B3261" s="896">
        <f t="shared" si="171"/>
        <v>10</v>
      </c>
      <c r="C3261" s="897">
        <f t="shared" si="169"/>
        <v>42667</v>
      </c>
      <c r="D3261" s="897" t="s">
        <v>1580</v>
      </c>
      <c r="E3261" s="963">
        <v>42667</v>
      </c>
      <c r="F3261" s="964" t="s">
        <v>1286</v>
      </c>
      <c r="G3261" s="871" t="s">
        <v>1370</v>
      </c>
      <c r="H3261" s="965" t="s">
        <v>1328</v>
      </c>
      <c r="I3261" s="254">
        <v>1188</v>
      </c>
      <c r="J3261" s="254">
        <v>6917.9057250186588</v>
      </c>
      <c r="K3261" s="51">
        <f t="shared" si="170"/>
        <v>8218472</v>
      </c>
      <c r="L3261" s="966" t="s">
        <v>172</v>
      </c>
      <c r="M3261" s="966" t="s">
        <v>167</v>
      </c>
      <c r="N3261" s="52" t="str">
        <f>IF(AND('331-CT'!$E$7=TH!H3261,OR(L3261="331",M3261="331")),"331",IF(AND(OR(L3261="131",M3261="131"),H3261='131-CT'!$E$7),"131",""))</f>
        <v/>
      </c>
      <c r="O3261" s="857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65"/>
    </row>
    <row r="3262" spans="1:28" s="900" customFormat="1" ht="15.75" customHeight="1">
      <c r="A3262" s="895" t="str">
        <f>IF(B3262&lt;&gt;"",IF(AND(B3262&gt;=_TM1,B3262&lt;=_TM2,OR(TH!L3262="1111",TH!M3262="1111")),TH!D3262,""),"")</f>
        <v/>
      </c>
      <c r="B3262" s="896">
        <f t="shared" si="171"/>
        <v>10</v>
      </c>
      <c r="C3262" s="897">
        <f t="shared" si="169"/>
        <v>42667</v>
      </c>
      <c r="D3262" s="897" t="s">
        <v>1580</v>
      </c>
      <c r="E3262" s="963">
        <v>42667</v>
      </c>
      <c r="F3262" s="964" t="s">
        <v>655</v>
      </c>
      <c r="G3262" s="871" t="s">
        <v>1370</v>
      </c>
      <c r="H3262" s="965" t="s">
        <v>1328</v>
      </c>
      <c r="I3262" s="254">
        <v>215</v>
      </c>
      <c r="J3262" s="254">
        <v>10967.411515273485</v>
      </c>
      <c r="K3262" s="51">
        <f t="shared" si="170"/>
        <v>2357993</v>
      </c>
      <c r="L3262" s="966" t="s">
        <v>172</v>
      </c>
      <c r="M3262" s="966" t="s">
        <v>167</v>
      </c>
      <c r="N3262" s="52" t="str">
        <f>IF(AND('331-CT'!$E$7=TH!H3262,OR(L3262="331",M3262="331")),"331",IF(AND(OR(L3262="131",M3262="131"),H3262='131-CT'!$E$7),"131",""))</f>
        <v/>
      </c>
      <c r="O3262" s="857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65"/>
    </row>
    <row r="3263" spans="1:28" s="900" customFormat="1" ht="15.75" customHeight="1">
      <c r="A3263" s="895" t="str">
        <f>IF(B3263&lt;&gt;"",IF(AND(B3263&gt;=_TM1,B3263&lt;=_TM2,OR(TH!L3263="1111",TH!M3263="1111")),TH!D3263,""),"")</f>
        <v/>
      </c>
      <c r="B3263" s="896">
        <f t="shared" si="171"/>
        <v>10</v>
      </c>
      <c r="C3263" s="897">
        <f t="shared" ref="C3263:C3326" si="172">E3263</f>
        <v>42668</v>
      </c>
      <c r="D3263" s="897" t="s">
        <v>1580</v>
      </c>
      <c r="E3263" s="963">
        <v>42668</v>
      </c>
      <c r="F3263" s="967" t="s">
        <v>1372</v>
      </c>
      <c r="G3263" s="871" t="s">
        <v>1371</v>
      </c>
      <c r="H3263" s="965" t="s">
        <v>1328</v>
      </c>
      <c r="I3263" s="254">
        <v>720</v>
      </c>
      <c r="J3263" s="254">
        <v>5399.3410536730999</v>
      </c>
      <c r="K3263" s="51">
        <f t="shared" si="170"/>
        <v>3887526</v>
      </c>
      <c r="L3263" s="966" t="s">
        <v>172</v>
      </c>
      <c r="M3263" s="966" t="s">
        <v>167</v>
      </c>
      <c r="N3263" s="52" t="str">
        <f>IF(AND('331-CT'!$E$7=TH!H3263,OR(L3263="331",M3263="331")),"331",IF(AND(OR(L3263="131",M3263="131"),H3263='131-CT'!$E$7),"131",""))</f>
        <v/>
      </c>
      <c r="O3263" s="857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65"/>
    </row>
    <row r="3264" spans="1:28" s="900" customFormat="1" ht="15.75" customHeight="1">
      <c r="A3264" s="895" t="str">
        <f>IF(B3264&lt;&gt;"",IF(AND(B3264&gt;=_TM1,B3264&lt;=_TM2,OR(TH!L3264="1111",TH!M3264="1111")),TH!D3264,""),"")</f>
        <v/>
      </c>
      <c r="B3264" s="896">
        <f t="shared" si="171"/>
        <v>10</v>
      </c>
      <c r="C3264" s="897">
        <f t="shared" si="172"/>
        <v>42668</v>
      </c>
      <c r="D3264" s="897" t="s">
        <v>1580</v>
      </c>
      <c r="E3264" s="963">
        <v>42668</v>
      </c>
      <c r="F3264" s="967" t="s">
        <v>1373</v>
      </c>
      <c r="G3264" s="871" t="s">
        <v>1371</v>
      </c>
      <c r="H3264" s="965" t="s">
        <v>1328</v>
      </c>
      <c r="I3264" s="254">
        <v>313</v>
      </c>
      <c r="J3264" s="254">
        <v>4471.3293100730361</v>
      </c>
      <c r="K3264" s="51">
        <f t="shared" ref="K3264:K3327" si="173">ROUND(I3264*J3264,0)</f>
        <v>1399526</v>
      </c>
      <c r="L3264" s="966" t="s">
        <v>172</v>
      </c>
      <c r="M3264" s="966" t="s">
        <v>167</v>
      </c>
      <c r="N3264" s="52" t="str">
        <f>IF(AND('331-CT'!$E$7=TH!H3264,OR(L3264="331",M3264="331")),"331",IF(AND(OR(L3264="131",M3264="131"),H3264='131-CT'!$E$7),"131",""))</f>
        <v/>
      </c>
      <c r="O3264" s="857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65"/>
    </row>
    <row r="3265" spans="1:28" s="900" customFormat="1" ht="15.75" customHeight="1">
      <c r="A3265" s="895" t="str">
        <f>IF(B3265&lt;&gt;"",IF(AND(B3265&gt;=_TM1,B3265&lt;=_TM2,OR(TH!L3265="1111",TH!M3265="1111")),TH!D3265,""),"")</f>
        <v/>
      </c>
      <c r="B3265" s="896">
        <f t="shared" si="171"/>
        <v>10</v>
      </c>
      <c r="C3265" s="897">
        <f t="shared" si="172"/>
        <v>42669</v>
      </c>
      <c r="D3265" s="897" t="s">
        <v>1580</v>
      </c>
      <c r="E3265" s="963">
        <v>42669</v>
      </c>
      <c r="F3265" s="870" t="s">
        <v>1099</v>
      </c>
      <c r="G3265" s="871" t="s">
        <v>1374</v>
      </c>
      <c r="H3265" s="965" t="s">
        <v>1328</v>
      </c>
      <c r="I3265" s="254">
        <v>60</v>
      </c>
      <c r="J3265" s="254">
        <v>71372.539553241295</v>
      </c>
      <c r="K3265" s="51">
        <f t="shared" si="173"/>
        <v>4282352</v>
      </c>
      <c r="L3265" s="966" t="s">
        <v>172</v>
      </c>
      <c r="M3265" s="966" t="s">
        <v>167</v>
      </c>
      <c r="N3265" s="52" t="str">
        <f>IF(AND('331-CT'!$E$7=TH!H3265,OR(L3265="331",M3265="331")),"331",IF(AND(OR(L3265="131",M3265="131"),H3265='131-CT'!$E$7),"131",""))</f>
        <v/>
      </c>
      <c r="O3265" s="857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65"/>
    </row>
    <row r="3266" spans="1:28" s="900" customFormat="1" ht="15.75" customHeight="1">
      <c r="A3266" s="895" t="str">
        <f>IF(B3266&lt;&gt;"",IF(AND(B3266&gt;=_TM1,B3266&lt;=_TM2,OR(TH!L3266="1111",TH!M3266="1111")),TH!D3266,""),"")</f>
        <v/>
      </c>
      <c r="B3266" s="896">
        <f t="shared" si="171"/>
        <v>10</v>
      </c>
      <c r="C3266" s="897">
        <f t="shared" si="172"/>
        <v>42669</v>
      </c>
      <c r="D3266" s="897" t="s">
        <v>1580</v>
      </c>
      <c r="E3266" s="963">
        <v>42669</v>
      </c>
      <c r="F3266" s="870" t="s">
        <v>448</v>
      </c>
      <c r="G3266" s="871" t="s">
        <v>1374</v>
      </c>
      <c r="H3266" s="965" t="s">
        <v>1328</v>
      </c>
      <c r="I3266" s="254">
        <v>154</v>
      </c>
      <c r="J3266" s="254">
        <v>61164.410373640589</v>
      </c>
      <c r="K3266" s="51">
        <f t="shared" si="173"/>
        <v>9419319</v>
      </c>
      <c r="L3266" s="966" t="s">
        <v>172</v>
      </c>
      <c r="M3266" s="966" t="s">
        <v>167</v>
      </c>
      <c r="N3266" s="52" t="str">
        <f>IF(AND('331-CT'!$E$7=TH!H3266,OR(L3266="331",M3266="331")),"331",IF(AND(OR(L3266="131",M3266="131"),H3266='131-CT'!$E$7),"131",""))</f>
        <v/>
      </c>
      <c r="O3266" s="857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65"/>
    </row>
    <row r="3267" spans="1:28" s="900" customFormat="1" ht="15.75" customHeight="1">
      <c r="A3267" s="895" t="str">
        <f>IF(B3267&lt;&gt;"",IF(AND(B3267&gt;=_TM1,B3267&lt;=_TM2,OR(TH!L3267="1111",TH!M3267="1111")),TH!D3267,""),"")</f>
        <v/>
      </c>
      <c r="B3267" s="896">
        <f t="shared" si="171"/>
        <v>10</v>
      </c>
      <c r="C3267" s="897">
        <f t="shared" si="172"/>
        <v>42669</v>
      </c>
      <c r="D3267" s="897" t="s">
        <v>1580</v>
      </c>
      <c r="E3267" s="963">
        <v>42669</v>
      </c>
      <c r="F3267" s="964" t="s">
        <v>1475</v>
      </c>
      <c r="G3267" s="871" t="s">
        <v>1376</v>
      </c>
      <c r="H3267" s="965" t="s">
        <v>1328</v>
      </c>
      <c r="I3267" s="254">
        <v>520</v>
      </c>
      <c r="J3267" s="254">
        <v>2699.6705268365499</v>
      </c>
      <c r="K3267" s="51">
        <f t="shared" si="173"/>
        <v>1403829</v>
      </c>
      <c r="L3267" s="966" t="s">
        <v>172</v>
      </c>
      <c r="M3267" s="966" t="s">
        <v>167</v>
      </c>
      <c r="N3267" s="52" t="str">
        <f>IF(AND('331-CT'!$E$7=TH!H3267,OR(L3267="331",M3267="331")),"331",IF(AND(OR(L3267="131",M3267="131"),H3267='131-CT'!$E$7),"131",""))</f>
        <v/>
      </c>
      <c r="O3267" s="857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65"/>
    </row>
    <row r="3268" spans="1:28" s="900" customFormat="1" ht="15.75" customHeight="1">
      <c r="A3268" s="895" t="str">
        <f>IF(B3268&lt;&gt;"",IF(AND(B3268&gt;=_TM1,B3268&lt;=_TM2,OR(TH!L3268="1111",TH!M3268="1111")),TH!D3268,""),"")</f>
        <v/>
      </c>
      <c r="B3268" s="896">
        <f t="shared" si="171"/>
        <v>10</v>
      </c>
      <c r="C3268" s="897">
        <f t="shared" si="172"/>
        <v>42669</v>
      </c>
      <c r="D3268" s="897" t="s">
        <v>1580</v>
      </c>
      <c r="E3268" s="963">
        <v>42669</v>
      </c>
      <c r="F3268" s="964" t="s">
        <v>1475</v>
      </c>
      <c r="G3268" s="871" t="s">
        <v>1376</v>
      </c>
      <c r="H3268" s="965" t="s">
        <v>1328</v>
      </c>
      <c r="I3268" s="254">
        <v>550</v>
      </c>
      <c r="J3268" s="254">
        <v>2699.6705268365499</v>
      </c>
      <c r="K3268" s="51">
        <f t="shared" si="173"/>
        <v>1484819</v>
      </c>
      <c r="L3268" s="966" t="s">
        <v>172</v>
      </c>
      <c r="M3268" s="966" t="s">
        <v>167</v>
      </c>
      <c r="N3268" s="52" t="str">
        <f>IF(AND('331-CT'!$E$7=TH!H3268,OR(L3268="331",M3268="331")),"331",IF(AND(OR(L3268="131",M3268="131"),H3268='131-CT'!$E$7),"131",""))</f>
        <v/>
      </c>
      <c r="O3268" s="857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65"/>
    </row>
    <row r="3269" spans="1:28" s="900" customFormat="1" ht="15.75" customHeight="1">
      <c r="A3269" s="895" t="str">
        <f>IF(B3269&lt;&gt;"",IF(AND(B3269&gt;=_TM1,B3269&lt;=_TM2,OR(TH!L3269="1111",TH!M3269="1111")),TH!D3269,""),"")</f>
        <v/>
      </c>
      <c r="B3269" s="896">
        <f t="shared" si="171"/>
        <v>10</v>
      </c>
      <c r="C3269" s="897">
        <f t="shared" si="172"/>
        <v>42670</v>
      </c>
      <c r="D3269" s="897" t="s">
        <v>1580</v>
      </c>
      <c r="E3269" s="963">
        <v>42670</v>
      </c>
      <c r="F3269" s="964" t="s">
        <v>1379</v>
      </c>
      <c r="G3269" s="871" t="s">
        <v>1378</v>
      </c>
      <c r="H3269" s="965" t="s">
        <v>1328</v>
      </c>
      <c r="I3269" s="254">
        <v>100</v>
      </c>
      <c r="J3269" s="254">
        <v>15860.56434516473</v>
      </c>
      <c r="K3269" s="51">
        <f t="shared" si="173"/>
        <v>1586056</v>
      </c>
      <c r="L3269" s="966" t="s">
        <v>172</v>
      </c>
      <c r="M3269" s="966" t="s">
        <v>167</v>
      </c>
      <c r="N3269" s="52" t="str">
        <f>IF(AND('331-CT'!$E$7=TH!H3269,OR(L3269="331",M3269="331")),"331",IF(AND(OR(L3269="131",M3269="131"),H3269='131-CT'!$E$7),"131",""))</f>
        <v/>
      </c>
      <c r="O3269" s="857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65"/>
    </row>
    <row r="3270" spans="1:28" s="900" customFormat="1" ht="15.75" customHeight="1">
      <c r="A3270" s="895" t="str">
        <f>IF(B3270&lt;&gt;"",IF(AND(B3270&gt;=_TM1,B3270&lt;=_TM2,OR(TH!L3270="1111",TH!M3270="1111")),TH!D3270,""),"")</f>
        <v/>
      </c>
      <c r="B3270" s="896">
        <f t="shared" si="171"/>
        <v>10</v>
      </c>
      <c r="C3270" s="897">
        <f t="shared" si="172"/>
        <v>42670</v>
      </c>
      <c r="D3270" s="897" t="s">
        <v>1580</v>
      </c>
      <c r="E3270" s="963">
        <v>42670</v>
      </c>
      <c r="F3270" s="964" t="s">
        <v>1382</v>
      </c>
      <c r="G3270" s="871" t="s">
        <v>1381</v>
      </c>
      <c r="H3270" s="965" t="s">
        <v>1328</v>
      </c>
      <c r="I3270" s="254">
        <v>25</v>
      </c>
      <c r="J3270" s="254">
        <v>8099.0115805096493</v>
      </c>
      <c r="K3270" s="51">
        <f t="shared" si="173"/>
        <v>202475</v>
      </c>
      <c r="L3270" s="966" t="s">
        <v>172</v>
      </c>
      <c r="M3270" s="966" t="s">
        <v>167</v>
      </c>
      <c r="N3270" s="52" t="str">
        <f>IF(AND('331-CT'!$E$7=TH!H3270,OR(L3270="331",M3270="331")),"331",IF(AND(OR(L3270="131",M3270="131"),H3270='131-CT'!$E$7),"131",""))</f>
        <v/>
      </c>
      <c r="O3270" s="857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65"/>
    </row>
    <row r="3271" spans="1:28" s="900" customFormat="1" ht="15.75" customHeight="1">
      <c r="A3271" s="895" t="str">
        <f>IF(B3271&lt;&gt;"",IF(AND(B3271&gt;=_TM1,B3271&lt;=_TM2,OR(TH!L3271="1111",TH!M3271="1111")),TH!D3271,""),"")</f>
        <v/>
      </c>
      <c r="B3271" s="896">
        <f t="shared" si="171"/>
        <v>11</v>
      </c>
      <c r="C3271" s="897">
        <f t="shared" si="172"/>
        <v>42676</v>
      </c>
      <c r="D3271" s="897" t="s">
        <v>1580</v>
      </c>
      <c r="E3271" s="963">
        <v>42676</v>
      </c>
      <c r="F3271" s="870" t="s">
        <v>1472</v>
      </c>
      <c r="G3271" s="871" t="s">
        <v>1383</v>
      </c>
      <c r="H3271" s="965" t="s">
        <v>1328</v>
      </c>
      <c r="I3271" s="254">
        <v>1800</v>
      </c>
      <c r="J3271" s="254">
        <v>3627.6822704366141</v>
      </c>
      <c r="K3271" s="51">
        <f t="shared" si="173"/>
        <v>6529828</v>
      </c>
      <c r="L3271" s="966" t="s">
        <v>172</v>
      </c>
      <c r="M3271" s="966" t="s">
        <v>167</v>
      </c>
      <c r="N3271" s="52" t="str">
        <f>IF(AND('331-CT'!$E$7=TH!H3271,OR(L3271="331",M3271="331")),"331",IF(AND(OR(L3271="131",M3271="131"),H3271='131-CT'!$E$7),"131",""))</f>
        <v/>
      </c>
      <c r="O3271" s="857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65"/>
    </row>
    <row r="3272" spans="1:28" s="900" customFormat="1" ht="15.75" customHeight="1">
      <c r="A3272" s="895" t="str">
        <f>IF(B3272&lt;&gt;"",IF(AND(B3272&gt;=_TM1,B3272&lt;=_TM2,OR(TH!L3272="1111",TH!M3272="1111")),TH!D3272,""),"")</f>
        <v/>
      </c>
      <c r="B3272" s="896">
        <f t="shared" si="171"/>
        <v>11</v>
      </c>
      <c r="C3272" s="897">
        <f t="shared" si="172"/>
        <v>42676</v>
      </c>
      <c r="D3272" s="897" t="s">
        <v>1580</v>
      </c>
      <c r="E3272" s="963">
        <v>42676</v>
      </c>
      <c r="F3272" s="870" t="s">
        <v>1338</v>
      </c>
      <c r="G3272" s="871" t="s">
        <v>1383</v>
      </c>
      <c r="H3272" s="965" t="s">
        <v>1328</v>
      </c>
      <c r="I3272" s="254">
        <v>30</v>
      </c>
      <c r="J3272" s="254">
        <v>12823.435002473612</v>
      </c>
      <c r="K3272" s="51">
        <f t="shared" si="173"/>
        <v>384703</v>
      </c>
      <c r="L3272" s="966" t="s">
        <v>172</v>
      </c>
      <c r="M3272" s="966" t="s">
        <v>167</v>
      </c>
      <c r="N3272" s="52" t="str">
        <f>IF(AND('331-CT'!$E$7=TH!H3272,OR(L3272="331",M3272="331")),"331",IF(AND(OR(L3272="131",M3272="131"),H3272='131-CT'!$E$7),"131",""))</f>
        <v/>
      </c>
      <c r="O3272" s="857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65"/>
    </row>
    <row r="3273" spans="1:28" s="900" customFormat="1" ht="15.75" customHeight="1">
      <c r="A3273" s="895" t="str">
        <f>IF(B3273&lt;&gt;"",IF(AND(B3273&gt;=_TM1,B3273&lt;=_TM2,OR(TH!L3273="1111",TH!M3273="1111")),TH!D3273,""),"")</f>
        <v/>
      </c>
      <c r="B3273" s="896">
        <f t="shared" si="171"/>
        <v>11</v>
      </c>
      <c r="C3273" s="897">
        <f t="shared" si="172"/>
        <v>42676</v>
      </c>
      <c r="D3273" s="897" t="s">
        <v>1580</v>
      </c>
      <c r="E3273" s="963">
        <v>42676</v>
      </c>
      <c r="F3273" s="870" t="s">
        <v>1338</v>
      </c>
      <c r="G3273" s="871" t="s">
        <v>1383</v>
      </c>
      <c r="H3273" s="965" t="s">
        <v>1328</v>
      </c>
      <c r="I3273" s="254">
        <v>30</v>
      </c>
      <c r="J3273" s="254">
        <v>12823.435002473612</v>
      </c>
      <c r="K3273" s="51">
        <f t="shared" si="173"/>
        <v>384703</v>
      </c>
      <c r="L3273" s="966" t="s">
        <v>172</v>
      </c>
      <c r="M3273" s="966" t="s">
        <v>167</v>
      </c>
      <c r="N3273" s="52" t="str">
        <f>IF(AND('331-CT'!$E$7=TH!H3273,OR(L3273="331",M3273="331")),"331",IF(AND(OR(L3273="131",M3273="131"),H3273='131-CT'!$E$7),"131",""))</f>
        <v/>
      </c>
      <c r="O3273" s="857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65"/>
    </row>
    <row r="3274" spans="1:28" s="900" customFormat="1" ht="15.75" customHeight="1">
      <c r="A3274" s="895" t="str">
        <f>IF(B3274&lt;&gt;"",IF(AND(B3274&gt;=_TM1,B3274&lt;=_TM2,OR(TH!L3274="1111",TH!M3274="1111")),TH!D3274,""),"")</f>
        <v/>
      </c>
      <c r="B3274" s="896">
        <f t="shared" si="171"/>
        <v>11</v>
      </c>
      <c r="C3274" s="897">
        <f t="shared" si="172"/>
        <v>42676</v>
      </c>
      <c r="D3274" s="897" t="s">
        <v>1580</v>
      </c>
      <c r="E3274" s="963">
        <v>42676</v>
      </c>
      <c r="F3274" s="964" t="s">
        <v>1341</v>
      </c>
      <c r="G3274" s="871" t="s">
        <v>1383</v>
      </c>
      <c r="H3274" s="965" t="s">
        <v>1328</v>
      </c>
      <c r="I3274" s="254">
        <v>30</v>
      </c>
      <c r="J3274" s="254">
        <v>9195.7527320369991</v>
      </c>
      <c r="K3274" s="51">
        <f t="shared" si="173"/>
        <v>275873</v>
      </c>
      <c r="L3274" s="966" t="s">
        <v>172</v>
      </c>
      <c r="M3274" s="966" t="s">
        <v>167</v>
      </c>
      <c r="N3274" s="52" t="str">
        <f>IF(AND('331-CT'!$E$7=TH!H3274,OR(L3274="331",M3274="331")),"331",IF(AND(OR(L3274="131",M3274="131"),H3274='131-CT'!$E$7),"131",""))</f>
        <v/>
      </c>
      <c r="O3274" s="857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65"/>
    </row>
    <row r="3275" spans="1:28" s="900" customFormat="1" ht="15.75" customHeight="1">
      <c r="A3275" s="895" t="str">
        <f>IF(B3275&lt;&gt;"",IF(AND(B3275&gt;=_TM1,B3275&lt;=_TM2,OR(TH!L3275="1111",TH!M3275="1111")),TH!D3275,""),"")</f>
        <v/>
      </c>
      <c r="B3275" s="896">
        <f t="shared" si="171"/>
        <v>11</v>
      </c>
      <c r="C3275" s="897">
        <f t="shared" si="172"/>
        <v>42676</v>
      </c>
      <c r="D3275" s="897" t="s">
        <v>1580</v>
      </c>
      <c r="E3275" s="901">
        <v>42676</v>
      </c>
      <c r="F3275" s="964" t="s">
        <v>1339</v>
      </c>
      <c r="G3275" s="871" t="s">
        <v>1383</v>
      </c>
      <c r="H3275" s="965" t="s">
        <v>1328</v>
      </c>
      <c r="I3275" s="254">
        <v>30</v>
      </c>
      <c r="J3275" s="254">
        <v>10208.129179600704</v>
      </c>
      <c r="K3275" s="51">
        <f t="shared" si="173"/>
        <v>306244</v>
      </c>
      <c r="L3275" s="966" t="s">
        <v>172</v>
      </c>
      <c r="M3275" s="966" t="s">
        <v>167</v>
      </c>
      <c r="N3275" s="52" t="str">
        <f>IF(AND('331-CT'!$E$7=TH!H3275,OR(L3275="331",M3275="331")),"331",IF(AND(OR(L3275="131",M3275="131"),H3275='131-CT'!$E$7),"131",""))</f>
        <v/>
      </c>
      <c r="O3275" s="857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65"/>
    </row>
    <row r="3276" spans="1:28" s="900" customFormat="1" ht="15.75" customHeight="1">
      <c r="A3276" s="895" t="str">
        <f>IF(B3276&lt;&gt;"",IF(AND(B3276&gt;=_TM1,B3276&lt;=_TM2,OR(TH!L3276="1111",TH!M3276="1111")),TH!D3276,""),"")</f>
        <v/>
      </c>
      <c r="B3276" s="896">
        <f t="shared" si="171"/>
        <v>11</v>
      </c>
      <c r="C3276" s="897">
        <f t="shared" si="172"/>
        <v>42676</v>
      </c>
      <c r="D3276" s="897" t="s">
        <v>1580</v>
      </c>
      <c r="E3276" s="901">
        <v>42676</v>
      </c>
      <c r="F3276" s="964" t="s">
        <v>1340</v>
      </c>
      <c r="G3276" s="871" t="s">
        <v>1383</v>
      </c>
      <c r="H3276" s="965" t="s">
        <v>1328</v>
      </c>
      <c r="I3276" s="254">
        <v>100</v>
      </c>
      <c r="J3276" s="254">
        <v>11220.505627164412</v>
      </c>
      <c r="K3276" s="51">
        <f t="shared" si="173"/>
        <v>1122051</v>
      </c>
      <c r="L3276" s="966" t="s">
        <v>172</v>
      </c>
      <c r="M3276" s="966" t="s">
        <v>167</v>
      </c>
      <c r="N3276" s="52" t="str">
        <f>IF(AND('331-CT'!$E$7=TH!H3276,OR(L3276="331",M3276="331")),"331",IF(AND(OR(L3276="131",M3276="131"),H3276='131-CT'!$E$7),"131",""))</f>
        <v/>
      </c>
      <c r="O3276" s="857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65"/>
    </row>
    <row r="3277" spans="1:28" s="900" customFormat="1" ht="15.75" customHeight="1">
      <c r="A3277" s="895" t="str">
        <f>IF(B3277&lt;&gt;"",IF(AND(B3277&gt;=_TM1,B3277&lt;=_TM2,OR(TH!L3277="1111",TH!M3277="1111")),TH!D3277,""),"")</f>
        <v/>
      </c>
      <c r="B3277" s="896">
        <f t="shared" si="171"/>
        <v>11</v>
      </c>
      <c r="C3277" s="897">
        <f t="shared" si="172"/>
        <v>42676</v>
      </c>
      <c r="D3277" s="897" t="s">
        <v>1580</v>
      </c>
      <c r="E3277" s="901">
        <v>42676</v>
      </c>
      <c r="F3277" s="964" t="s">
        <v>1467</v>
      </c>
      <c r="G3277" s="871" t="s">
        <v>1383</v>
      </c>
      <c r="H3277" s="965" t="s">
        <v>1328</v>
      </c>
      <c r="I3277" s="254">
        <v>30</v>
      </c>
      <c r="J3277" s="254">
        <v>17632.223128401216</v>
      </c>
      <c r="K3277" s="51">
        <f t="shared" si="173"/>
        <v>528967</v>
      </c>
      <c r="L3277" s="966" t="s">
        <v>172</v>
      </c>
      <c r="M3277" s="966" t="s">
        <v>167</v>
      </c>
      <c r="N3277" s="52" t="str">
        <f>IF(AND('331-CT'!$E$7=TH!H3277,OR(L3277="331",M3277="331")),"331",IF(AND(OR(L3277="131",M3277="131"),H3277='131-CT'!$E$7),"131",""))</f>
        <v/>
      </c>
      <c r="O3277" s="857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65"/>
    </row>
    <row r="3278" spans="1:28" s="900" customFormat="1" ht="15.75" customHeight="1">
      <c r="A3278" s="895" t="str">
        <f>IF(B3278&lt;&gt;"",IF(AND(B3278&gt;=_TM1,B3278&lt;=_TM2,OR(TH!L3278="1111",TH!M3278="1111")),TH!D3278,""),"")</f>
        <v/>
      </c>
      <c r="B3278" s="896">
        <f t="shared" si="171"/>
        <v>11</v>
      </c>
      <c r="C3278" s="897">
        <f t="shared" si="172"/>
        <v>42676</v>
      </c>
      <c r="D3278" s="897" t="s">
        <v>1580</v>
      </c>
      <c r="E3278" s="901">
        <v>42676</v>
      </c>
      <c r="F3278" s="964" t="s">
        <v>1477</v>
      </c>
      <c r="G3278" s="871" t="s">
        <v>1383</v>
      </c>
      <c r="H3278" s="965" t="s">
        <v>1328</v>
      </c>
      <c r="I3278" s="254">
        <v>70</v>
      </c>
      <c r="J3278" s="254">
        <v>17632.223128401216</v>
      </c>
      <c r="K3278" s="51">
        <f t="shared" si="173"/>
        <v>1234256</v>
      </c>
      <c r="L3278" s="966" t="s">
        <v>172</v>
      </c>
      <c r="M3278" s="966" t="s">
        <v>167</v>
      </c>
      <c r="N3278" s="52" t="str">
        <f>IF(AND('331-CT'!$E$7=TH!H3278,OR(L3278="331",M3278="331")),"331",IF(AND(OR(L3278="131",M3278="131"),H3278='131-CT'!$E$7),"131",""))</f>
        <v/>
      </c>
      <c r="O3278" s="857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65"/>
    </row>
    <row r="3279" spans="1:28" s="900" customFormat="1" ht="15.75" customHeight="1">
      <c r="A3279" s="895" t="str">
        <f>IF(B3279&lt;&gt;"",IF(AND(B3279&gt;=_TM1,B3279&lt;=_TM2,OR(TH!L3279="1111",TH!M3279="1111")),TH!D3279,""),"")</f>
        <v/>
      </c>
      <c r="B3279" s="896">
        <f t="shared" si="171"/>
        <v>11</v>
      </c>
      <c r="C3279" s="897">
        <f t="shared" si="172"/>
        <v>42677</v>
      </c>
      <c r="D3279" s="897" t="s">
        <v>1580</v>
      </c>
      <c r="E3279" s="963">
        <v>42677</v>
      </c>
      <c r="F3279" s="964" t="s">
        <v>1346</v>
      </c>
      <c r="G3279" s="871" t="s">
        <v>1384</v>
      </c>
      <c r="H3279" s="965" t="s">
        <v>1328</v>
      </c>
      <c r="I3279" s="254">
        <v>974</v>
      </c>
      <c r="J3279" s="254">
        <v>4724.4234219639629</v>
      </c>
      <c r="K3279" s="51">
        <f t="shared" si="173"/>
        <v>4601588</v>
      </c>
      <c r="L3279" s="966" t="s">
        <v>172</v>
      </c>
      <c r="M3279" s="966" t="s">
        <v>167</v>
      </c>
      <c r="N3279" s="52" t="str">
        <f>IF(AND('331-CT'!$E$7=TH!H3279,OR(L3279="331",M3279="331")),"331",IF(AND(OR(L3279="131",M3279="131"),H3279='131-CT'!$E$7),"131",""))</f>
        <v/>
      </c>
      <c r="O3279" s="857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65"/>
    </row>
    <row r="3280" spans="1:28" s="900" customFormat="1" ht="15.75" customHeight="1">
      <c r="A3280" s="895" t="str">
        <f>IF(B3280&lt;&gt;"",IF(AND(B3280&gt;=_TM1,B3280&lt;=_TM2,OR(TH!L3280="1111",TH!M3280="1111")),TH!D3280,""),"")</f>
        <v/>
      </c>
      <c r="B3280" s="896">
        <f t="shared" si="171"/>
        <v>11</v>
      </c>
      <c r="C3280" s="897">
        <f t="shared" si="172"/>
        <v>42679</v>
      </c>
      <c r="D3280" s="897" t="s">
        <v>1580</v>
      </c>
      <c r="E3280" s="963">
        <v>42679</v>
      </c>
      <c r="F3280" s="964" t="s">
        <v>1474</v>
      </c>
      <c r="G3280" s="871" t="s">
        <v>1385</v>
      </c>
      <c r="H3280" s="965" t="s">
        <v>1328</v>
      </c>
      <c r="I3280" s="254">
        <v>450</v>
      </c>
      <c r="J3280" s="254">
        <v>8014.6468765460077</v>
      </c>
      <c r="K3280" s="51">
        <f t="shared" si="173"/>
        <v>3606591</v>
      </c>
      <c r="L3280" s="966" t="s">
        <v>172</v>
      </c>
      <c r="M3280" s="966" t="s">
        <v>167</v>
      </c>
      <c r="N3280" s="52" t="str">
        <f>IF(AND('331-CT'!$E$7=TH!H3280,OR(L3280="331",M3280="331")),"331",IF(AND(OR(L3280="131",M3280="131"),H3280='131-CT'!$E$7),"131",""))</f>
        <v/>
      </c>
      <c r="O3280" s="857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65"/>
    </row>
    <row r="3281" spans="1:28" s="900" customFormat="1" ht="15.75" customHeight="1">
      <c r="A3281" s="895" t="str">
        <f>IF(B3281&lt;&gt;"",IF(AND(B3281&gt;=_TM1,B3281&lt;=_TM2,OR(TH!L3281="1111",TH!M3281="1111")),TH!D3281,""),"")</f>
        <v/>
      </c>
      <c r="B3281" s="896">
        <f t="shared" si="171"/>
        <v>11</v>
      </c>
      <c r="C3281" s="897">
        <f t="shared" si="172"/>
        <v>42679</v>
      </c>
      <c r="D3281" s="897" t="s">
        <v>1580</v>
      </c>
      <c r="E3281" s="963">
        <v>42679</v>
      </c>
      <c r="F3281" s="964" t="s">
        <v>1474</v>
      </c>
      <c r="G3281" s="871" t="s">
        <v>1385</v>
      </c>
      <c r="H3281" s="965" t="s">
        <v>1328</v>
      </c>
      <c r="I3281" s="972">
        <v>200</v>
      </c>
      <c r="J3281" s="972">
        <v>8014.6468765460077</v>
      </c>
      <c r="K3281" s="51">
        <f t="shared" si="173"/>
        <v>1602929</v>
      </c>
      <c r="L3281" s="966" t="s">
        <v>172</v>
      </c>
      <c r="M3281" s="966" t="s">
        <v>167</v>
      </c>
      <c r="N3281" s="52" t="str">
        <f>IF(AND('331-CT'!$E$7=TH!H3281,OR(L3281="331",M3281="331")),"331",IF(AND(OR(L3281="131",M3281="131"),H3281='131-CT'!$E$7),"131",""))</f>
        <v/>
      </c>
      <c r="O3281" s="857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65"/>
    </row>
    <row r="3282" spans="1:28" s="900" customFormat="1" ht="15.75" customHeight="1">
      <c r="A3282" s="895" t="str">
        <f>IF(B3282&lt;&gt;"",IF(AND(B3282&gt;=_TM1,B3282&lt;=_TM2,OR(TH!L3282="1111",TH!M3282="1111")),TH!D3282,""),"")</f>
        <v/>
      </c>
      <c r="B3282" s="896">
        <f t="shared" si="171"/>
        <v>11</v>
      </c>
      <c r="C3282" s="897">
        <f t="shared" si="172"/>
        <v>42679</v>
      </c>
      <c r="D3282" s="897" t="s">
        <v>1580</v>
      </c>
      <c r="E3282" s="963">
        <v>42679</v>
      </c>
      <c r="F3282" s="964" t="s">
        <v>1386</v>
      </c>
      <c r="G3282" s="871" t="s">
        <v>1385</v>
      </c>
      <c r="H3282" s="965" t="s">
        <v>1328</v>
      </c>
      <c r="I3282" s="972">
        <v>530</v>
      </c>
      <c r="J3282" s="972">
        <v>6327.3527972731645</v>
      </c>
      <c r="K3282" s="51">
        <f t="shared" si="173"/>
        <v>3353497</v>
      </c>
      <c r="L3282" s="966" t="s">
        <v>172</v>
      </c>
      <c r="M3282" s="966" t="s">
        <v>167</v>
      </c>
      <c r="N3282" s="52" t="str">
        <f>IF(AND('331-CT'!$E$7=TH!H3282,OR(L3282="331",M3282="331")),"331",IF(AND(OR(L3282="131",M3282="131"),H3282='131-CT'!$E$7),"131",""))</f>
        <v/>
      </c>
      <c r="O3282" s="857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65"/>
    </row>
    <row r="3283" spans="1:28" s="900" customFormat="1" ht="15.75" customHeight="1">
      <c r="A3283" s="895" t="str">
        <f>IF(B3283&lt;&gt;"",IF(AND(B3283&gt;=_TM1,B3283&lt;=_TM2,OR(TH!L3283="1111",TH!M3283="1111")),TH!D3283,""),"")</f>
        <v/>
      </c>
      <c r="B3283" s="896">
        <f t="shared" si="171"/>
        <v>11</v>
      </c>
      <c r="C3283" s="897">
        <f t="shared" si="172"/>
        <v>42683</v>
      </c>
      <c r="D3283" s="897" t="s">
        <v>1580</v>
      </c>
      <c r="E3283" s="963">
        <v>42683</v>
      </c>
      <c r="F3283" s="964" t="s">
        <v>1397</v>
      </c>
      <c r="G3283" s="871" t="s">
        <v>1394</v>
      </c>
      <c r="H3283" s="965" t="s">
        <v>1328</v>
      </c>
      <c r="I3283" s="254">
        <v>233</v>
      </c>
      <c r="J3283" s="254">
        <v>5652.4351655640266</v>
      </c>
      <c r="K3283" s="51">
        <f t="shared" si="173"/>
        <v>1317017</v>
      </c>
      <c r="L3283" s="966" t="s">
        <v>172</v>
      </c>
      <c r="M3283" s="966" t="s">
        <v>167</v>
      </c>
      <c r="N3283" s="52" t="str">
        <f>IF(AND('331-CT'!$E$7=TH!H3283,OR(L3283="331",M3283="331")),"331",IF(AND(OR(L3283="131",M3283="131"),H3283='131-CT'!$E$7),"131",""))</f>
        <v/>
      </c>
      <c r="O3283" s="857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65"/>
    </row>
    <row r="3284" spans="1:28" s="900" customFormat="1" ht="15.75" customHeight="1">
      <c r="A3284" s="895" t="str">
        <f>IF(B3284&lt;&gt;"",IF(AND(B3284&gt;=_TM1,B3284&lt;=_TM2,OR(TH!L3284="1111",TH!M3284="1111")),TH!D3284,""),"")</f>
        <v/>
      </c>
      <c r="B3284" s="896">
        <f t="shared" si="171"/>
        <v>11</v>
      </c>
      <c r="C3284" s="897">
        <f t="shared" si="172"/>
        <v>42683</v>
      </c>
      <c r="D3284" s="897" t="s">
        <v>1580</v>
      </c>
      <c r="E3284" s="963">
        <v>42683</v>
      </c>
      <c r="F3284" s="870" t="s">
        <v>1398</v>
      </c>
      <c r="G3284" s="871" t="s">
        <v>1394</v>
      </c>
      <c r="H3284" s="965" t="s">
        <v>1328</v>
      </c>
      <c r="I3284" s="254">
        <v>13</v>
      </c>
      <c r="J3284" s="254">
        <v>6496.0822052004487</v>
      </c>
      <c r="K3284" s="51">
        <f t="shared" si="173"/>
        <v>84449</v>
      </c>
      <c r="L3284" s="966" t="s">
        <v>172</v>
      </c>
      <c r="M3284" s="966" t="s">
        <v>167</v>
      </c>
      <c r="N3284" s="52" t="str">
        <f>IF(AND('331-CT'!$E$7=TH!H3284,OR(L3284="331",M3284="331")),"331",IF(AND(OR(L3284="131",M3284="131"),H3284='131-CT'!$E$7),"131",""))</f>
        <v/>
      </c>
      <c r="O3284" s="857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65"/>
    </row>
    <row r="3285" spans="1:28" s="900" customFormat="1" ht="15.75" customHeight="1">
      <c r="A3285" s="895" t="str">
        <f>IF(B3285&lt;&gt;"",IF(AND(B3285&gt;=_TM1,B3285&lt;=_TM2,OR(TH!L3285="1111",TH!M3285="1111")),TH!D3285,""),"")</f>
        <v/>
      </c>
      <c r="B3285" s="896">
        <f t="shared" si="171"/>
        <v>11</v>
      </c>
      <c r="C3285" s="897">
        <f t="shared" si="172"/>
        <v>42683</v>
      </c>
      <c r="D3285" s="897" t="s">
        <v>1580</v>
      </c>
      <c r="E3285" s="963">
        <v>42683</v>
      </c>
      <c r="F3285" s="870" t="s">
        <v>1399</v>
      </c>
      <c r="G3285" s="871" t="s">
        <v>1394</v>
      </c>
      <c r="H3285" s="965" t="s">
        <v>1328</v>
      </c>
      <c r="I3285" s="254">
        <v>42</v>
      </c>
      <c r="J3285" s="254">
        <v>19319.51720767406</v>
      </c>
      <c r="K3285" s="51">
        <f t="shared" si="173"/>
        <v>811420</v>
      </c>
      <c r="L3285" s="966" t="s">
        <v>172</v>
      </c>
      <c r="M3285" s="966" t="s">
        <v>167</v>
      </c>
      <c r="N3285" s="52" t="str">
        <f>IF(AND('331-CT'!$E$7=TH!H3285,OR(L3285="331",M3285="331")),"331",IF(AND(OR(L3285="131",M3285="131"),H3285='131-CT'!$E$7),"131",""))</f>
        <v/>
      </c>
      <c r="O3285" s="857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65"/>
    </row>
    <row r="3286" spans="1:28" s="900" customFormat="1" ht="15.75" customHeight="1">
      <c r="A3286" s="895" t="str">
        <f>IF(B3286&lt;&gt;"",IF(AND(B3286&gt;=_TM1,B3286&lt;=_TM2,OR(TH!L3286="1111",TH!M3286="1111")),TH!D3286,""),"")</f>
        <v/>
      </c>
      <c r="B3286" s="896">
        <f t="shared" si="171"/>
        <v>11</v>
      </c>
      <c r="C3286" s="897">
        <f t="shared" si="172"/>
        <v>42683</v>
      </c>
      <c r="D3286" s="897" t="s">
        <v>1580</v>
      </c>
      <c r="E3286" s="963">
        <v>42683</v>
      </c>
      <c r="F3286" s="870" t="s">
        <v>1400</v>
      </c>
      <c r="G3286" s="871" t="s">
        <v>1394</v>
      </c>
      <c r="H3286" s="965" t="s">
        <v>1328</v>
      </c>
      <c r="I3286" s="254">
        <v>164</v>
      </c>
      <c r="J3286" s="254">
        <v>1856.0234872001281</v>
      </c>
      <c r="K3286" s="51">
        <f t="shared" si="173"/>
        <v>304388</v>
      </c>
      <c r="L3286" s="966" t="s">
        <v>172</v>
      </c>
      <c r="M3286" s="966" t="s">
        <v>167</v>
      </c>
      <c r="N3286" s="52" t="str">
        <f>IF(AND('331-CT'!$E$7=TH!H3286,OR(L3286="331",M3286="331")),"331",IF(AND(OR(L3286="131",M3286="131"),H3286='131-CT'!$E$7),"131",""))</f>
        <v/>
      </c>
      <c r="O3286" s="857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65"/>
    </row>
    <row r="3287" spans="1:28" s="900" customFormat="1" ht="15.75" customHeight="1">
      <c r="A3287" s="895" t="str">
        <f>IF(B3287&lt;&gt;"",IF(AND(B3287&gt;=_TM1,B3287&lt;=_TM2,OR(TH!L3287="1111",TH!M3287="1111")),TH!D3287,""),"")</f>
        <v/>
      </c>
      <c r="B3287" s="896">
        <f t="shared" si="171"/>
        <v>11</v>
      </c>
      <c r="C3287" s="897">
        <f t="shared" si="172"/>
        <v>42683</v>
      </c>
      <c r="D3287" s="897" t="s">
        <v>1580</v>
      </c>
      <c r="E3287" s="963">
        <v>42683</v>
      </c>
      <c r="F3287" s="870" t="s">
        <v>1401</v>
      </c>
      <c r="G3287" s="871" t="s">
        <v>1394</v>
      </c>
      <c r="H3287" s="965" t="s">
        <v>1328</v>
      </c>
      <c r="I3287" s="254">
        <v>123</v>
      </c>
      <c r="J3287" s="254">
        <v>1181.1058554909907</v>
      </c>
      <c r="K3287" s="51">
        <f t="shared" si="173"/>
        <v>145276</v>
      </c>
      <c r="L3287" s="966" t="s">
        <v>172</v>
      </c>
      <c r="M3287" s="966" t="s">
        <v>167</v>
      </c>
      <c r="N3287" s="52" t="str">
        <f>IF(AND('331-CT'!$E$7=TH!H3287,OR(L3287="331",M3287="331")),"331",IF(AND(OR(L3287="131",M3287="131"),H3287='131-CT'!$E$7),"131",""))</f>
        <v/>
      </c>
      <c r="O3287" s="857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65"/>
    </row>
    <row r="3288" spans="1:28" s="900" customFormat="1" ht="15.75" customHeight="1">
      <c r="A3288" s="895" t="str">
        <f>IF(B3288&lt;&gt;"",IF(AND(B3288&gt;=_TM1,B3288&lt;=_TM2,OR(TH!L3288="1111",TH!M3288="1111")),TH!D3288,""),"")</f>
        <v/>
      </c>
      <c r="B3288" s="896">
        <f t="shared" si="171"/>
        <v>11</v>
      </c>
      <c r="C3288" s="897">
        <f t="shared" si="172"/>
        <v>42683</v>
      </c>
      <c r="D3288" s="897" t="s">
        <v>1580</v>
      </c>
      <c r="E3288" s="963">
        <v>42683</v>
      </c>
      <c r="F3288" s="870" t="s">
        <v>1404</v>
      </c>
      <c r="G3288" s="871" t="s">
        <v>1402</v>
      </c>
      <c r="H3288" s="965" t="s">
        <v>1328</v>
      </c>
      <c r="I3288" s="254">
        <v>92</v>
      </c>
      <c r="J3288" s="254">
        <v>9195.7527320369991</v>
      </c>
      <c r="K3288" s="51">
        <f t="shared" si="173"/>
        <v>846009</v>
      </c>
      <c r="L3288" s="966" t="s">
        <v>172</v>
      </c>
      <c r="M3288" s="966" t="s">
        <v>167</v>
      </c>
      <c r="N3288" s="52" t="str">
        <f>IF(AND('331-CT'!$E$7=TH!H3288,OR(L3288="331",M3288="331")),"331",IF(AND(OR(L3288="131",M3288="131"),H3288='131-CT'!$E$7),"131",""))</f>
        <v/>
      </c>
      <c r="O3288" s="857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65"/>
    </row>
    <row r="3289" spans="1:28" s="900" customFormat="1" ht="15.75" customHeight="1">
      <c r="A3289" s="895" t="str">
        <f>IF(B3289&lt;&gt;"",IF(AND(B3289&gt;=_TM1,B3289&lt;=_TM2,OR(TH!L3289="1111",TH!M3289="1111")),TH!D3289,""),"")</f>
        <v/>
      </c>
      <c r="B3289" s="896">
        <f t="shared" si="171"/>
        <v>11</v>
      </c>
      <c r="C3289" s="897">
        <f t="shared" si="172"/>
        <v>42683</v>
      </c>
      <c r="D3289" s="897" t="s">
        <v>1580</v>
      </c>
      <c r="E3289" s="963">
        <v>42683</v>
      </c>
      <c r="F3289" s="964" t="s">
        <v>1405</v>
      </c>
      <c r="G3289" s="871" t="s">
        <v>1402</v>
      </c>
      <c r="H3289" s="965" t="s">
        <v>1328</v>
      </c>
      <c r="I3289" s="254">
        <v>52</v>
      </c>
      <c r="J3289" s="254">
        <v>8858.2939161824306</v>
      </c>
      <c r="K3289" s="51">
        <f t="shared" si="173"/>
        <v>460631</v>
      </c>
      <c r="L3289" s="966" t="s">
        <v>172</v>
      </c>
      <c r="M3289" s="966" t="s">
        <v>167</v>
      </c>
      <c r="N3289" s="52" t="str">
        <f>IF(AND('331-CT'!$E$7=TH!H3289,OR(L3289="331",M3289="331")),"331",IF(AND(OR(L3289="131",M3289="131"),H3289='131-CT'!$E$7),"131",""))</f>
        <v/>
      </c>
      <c r="O3289" s="857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65"/>
    </row>
    <row r="3290" spans="1:28" s="900" customFormat="1" ht="15.75" customHeight="1">
      <c r="A3290" s="895" t="str">
        <f>IF(B3290&lt;&gt;"",IF(AND(B3290&gt;=_TM1,B3290&lt;=_TM2,OR(TH!L3290="1111",TH!M3290="1111")),TH!D3290,""),"")</f>
        <v/>
      </c>
      <c r="B3290" s="896">
        <f t="shared" si="171"/>
        <v>11</v>
      </c>
      <c r="C3290" s="897">
        <f t="shared" si="172"/>
        <v>42683</v>
      </c>
      <c r="D3290" s="897" t="s">
        <v>1580</v>
      </c>
      <c r="E3290" s="963">
        <v>42683</v>
      </c>
      <c r="F3290" s="964" t="s">
        <v>1406</v>
      </c>
      <c r="G3290" s="871" t="s">
        <v>1402</v>
      </c>
      <c r="H3290" s="965" t="s">
        <v>1328</v>
      </c>
      <c r="I3290" s="254">
        <v>192</v>
      </c>
      <c r="J3290" s="254">
        <v>8267.7409884369335</v>
      </c>
      <c r="K3290" s="51">
        <f t="shared" si="173"/>
        <v>1587406</v>
      </c>
      <c r="L3290" s="966" t="s">
        <v>172</v>
      </c>
      <c r="M3290" s="966" t="s">
        <v>167</v>
      </c>
      <c r="N3290" s="52" t="str">
        <f>IF(AND('331-CT'!$E$7=TH!H3290,OR(L3290="331",M3290="331")),"331",IF(AND(OR(L3290="131",M3290="131"),H3290='131-CT'!$E$7),"131",""))</f>
        <v/>
      </c>
      <c r="O3290" s="857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65"/>
    </row>
    <row r="3291" spans="1:28" s="900" customFormat="1" ht="15.75" customHeight="1">
      <c r="A3291" s="895" t="str">
        <f>IF(B3291&lt;&gt;"",IF(AND(B3291&gt;=_TM1,B3291&lt;=_TM2,OR(TH!L3291="1111",TH!M3291="1111")),TH!D3291,""),"")</f>
        <v/>
      </c>
      <c r="B3291" s="896">
        <f t="shared" si="171"/>
        <v>11</v>
      </c>
      <c r="C3291" s="897">
        <f t="shared" si="172"/>
        <v>42683</v>
      </c>
      <c r="D3291" s="897" t="s">
        <v>1580</v>
      </c>
      <c r="E3291" s="963">
        <v>42683</v>
      </c>
      <c r="F3291" s="870" t="s">
        <v>1409</v>
      </c>
      <c r="G3291" s="871" t="s">
        <v>1407</v>
      </c>
      <c r="H3291" s="965" t="s">
        <v>1328</v>
      </c>
      <c r="I3291" s="254">
        <v>364</v>
      </c>
      <c r="J3291" s="254">
        <v>9448.8468439279259</v>
      </c>
      <c r="K3291" s="51">
        <f t="shared" si="173"/>
        <v>3439380</v>
      </c>
      <c r="L3291" s="966" t="s">
        <v>172</v>
      </c>
      <c r="M3291" s="966" t="s">
        <v>167</v>
      </c>
      <c r="N3291" s="52" t="str">
        <f>IF(AND('331-CT'!$E$7=TH!H3291,OR(L3291="331",M3291="331")),"331",IF(AND(OR(L3291="131",M3291="131"),H3291='131-CT'!$E$7),"131",""))</f>
        <v/>
      </c>
      <c r="O3291" s="857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65"/>
    </row>
    <row r="3292" spans="1:28" s="900" customFormat="1" ht="15.75" customHeight="1">
      <c r="A3292" s="895" t="str">
        <f>IF(B3292&lt;&gt;"",IF(AND(B3292&gt;=_TM1,B3292&lt;=_TM2,OR(TH!L3292="1111",TH!M3292="1111")),TH!D3292,""),"")</f>
        <v/>
      </c>
      <c r="B3292" s="896">
        <f t="shared" si="171"/>
        <v>11</v>
      </c>
      <c r="C3292" s="897">
        <f t="shared" si="172"/>
        <v>42683</v>
      </c>
      <c r="D3292" s="897" t="s">
        <v>1580</v>
      </c>
      <c r="E3292" s="963">
        <v>42683</v>
      </c>
      <c r="F3292" s="870" t="s">
        <v>1410</v>
      </c>
      <c r="G3292" s="871" t="s">
        <v>1407</v>
      </c>
      <c r="H3292" s="965" t="s">
        <v>1328</v>
      </c>
      <c r="I3292" s="254">
        <v>20</v>
      </c>
      <c r="J3292" s="254">
        <v>8183.3762844732919</v>
      </c>
      <c r="K3292" s="51">
        <f t="shared" si="173"/>
        <v>163668</v>
      </c>
      <c r="L3292" s="966" t="s">
        <v>172</v>
      </c>
      <c r="M3292" s="966" t="s">
        <v>167</v>
      </c>
      <c r="N3292" s="52" t="str">
        <f>IF(AND('331-CT'!$E$7=TH!H3292,OR(L3292="331",M3292="331")),"331",IF(AND(OR(L3292="131",M3292="131"),H3292='131-CT'!$E$7),"131",""))</f>
        <v/>
      </c>
      <c r="O3292" s="857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65"/>
    </row>
    <row r="3293" spans="1:28" s="900" customFormat="1" ht="15.75" customHeight="1">
      <c r="A3293" s="895" t="str">
        <f>IF(B3293&lt;&gt;"",IF(AND(B3293&gt;=_TM1,B3293&lt;=_TM2,OR(TH!L3293="1111",TH!M3293="1111")),TH!D3293,""),"")</f>
        <v/>
      </c>
      <c r="B3293" s="896">
        <f t="shared" si="171"/>
        <v>11</v>
      </c>
      <c r="C3293" s="897">
        <f t="shared" si="172"/>
        <v>42684</v>
      </c>
      <c r="D3293" s="897" t="s">
        <v>1580</v>
      </c>
      <c r="E3293" s="963">
        <v>42684</v>
      </c>
      <c r="F3293" s="870" t="s">
        <v>1411</v>
      </c>
      <c r="G3293" s="871" t="s">
        <v>1408</v>
      </c>
      <c r="H3293" s="965" t="s">
        <v>1328</v>
      </c>
      <c r="I3293" s="254">
        <v>200</v>
      </c>
      <c r="J3293" s="254">
        <v>8183.3762844732919</v>
      </c>
      <c r="K3293" s="51">
        <f t="shared" si="173"/>
        <v>1636675</v>
      </c>
      <c r="L3293" s="966" t="s">
        <v>172</v>
      </c>
      <c r="M3293" s="966" t="s">
        <v>167</v>
      </c>
      <c r="N3293" s="52" t="str">
        <f>IF(AND('331-CT'!$E$7=TH!H3293,OR(L3293="331",M3293="331")),"331",IF(AND(OR(L3293="131",M3293="131"),H3293='131-CT'!$E$7),"131",""))</f>
        <v/>
      </c>
      <c r="O3293" s="857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65"/>
    </row>
    <row r="3294" spans="1:28" s="900" customFormat="1" ht="15.75" customHeight="1">
      <c r="A3294" s="895" t="str">
        <f>IF(B3294&lt;&gt;"",IF(AND(B3294&gt;=_TM1,B3294&lt;=_TM2,OR(TH!L3294="1111",TH!M3294="1111")),TH!D3294,""),"")</f>
        <v/>
      </c>
      <c r="B3294" s="896">
        <f t="shared" si="171"/>
        <v>11</v>
      </c>
      <c r="C3294" s="897">
        <f t="shared" si="172"/>
        <v>42684</v>
      </c>
      <c r="D3294" s="897" t="s">
        <v>1580</v>
      </c>
      <c r="E3294" s="963">
        <v>42684</v>
      </c>
      <c r="F3294" s="964" t="s">
        <v>1413</v>
      </c>
      <c r="G3294" s="871" t="s">
        <v>1412</v>
      </c>
      <c r="H3294" s="965" t="s">
        <v>1328</v>
      </c>
      <c r="I3294" s="254">
        <v>300</v>
      </c>
      <c r="J3294" s="254">
        <v>8689.5645082551455</v>
      </c>
      <c r="K3294" s="51">
        <f t="shared" si="173"/>
        <v>2606869</v>
      </c>
      <c r="L3294" s="966" t="s">
        <v>172</v>
      </c>
      <c r="M3294" s="966" t="s">
        <v>167</v>
      </c>
      <c r="N3294" s="52" t="str">
        <f>IF(AND('331-CT'!$E$7=TH!H3294,OR(L3294="331",M3294="331")),"331",IF(AND(OR(L3294="131",M3294="131"),H3294='131-CT'!$E$7),"131",""))</f>
        <v/>
      </c>
      <c r="O3294" s="857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65"/>
    </row>
    <row r="3295" spans="1:28" s="900" customFormat="1" ht="15.75" customHeight="1">
      <c r="A3295" s="895" t="str">
        <f>IF(B3295&lt;&gt;"",IF(AND(B3295&gt;=_TM1,B3295&lt;=_TM2,OR(TH!L3295="1111",TH!M3295="1111")),TH!D3295,""),"")</f>
        <v/>
      </c>
      <c r="B3295" s="896">
        <f t="shared" si="171"/>
        <v>11</v>
      </c>
      <c r="C3295" s="897">
        <f t="shared" si="172"/>
        <v>42684</v>
      </c>
      <c r="D3295" s="897" t="s">
        <v>1580</v>
      </c>
      <c r="E3295" s="963">
        <v>42684</v>
      </c>
      <c r="F3295" s="964" t="s">
        <v>1414</v>
      </c>
      <c r="G3295" s="871" t="s">
        <v>1412</v>
      </c>
      <c r="H3295" s="965" t="s">
        <v>1328</v>
      </c>
      <c r="I3295" s="254">
        <v>35</v>
      </c>
      <c r="J3295" s="254">
        <v>10545.587995455273</v>
      </c>
      <c r="K3295" s="51">
        <f t="shared" si="173"/>
        <v>369096</v>
      </c>
      <c r="L3295" s="966" t="s">
        <v>172</v>
      </c>
      <c r="M3295" s="966" t="s">
        <v>167</v>
      </c>
      <c r="N3295" s="52" t="str">
        <f>IF(AND('331-CT'!$E$7=TH!H3295,OR(L3295="331",M3295="331")),"331",IF(AND(OR(L3295="131",M3295="131"),H3295='131-CT'!$E$7),"131",""))</f>
        <v/>
      </c>
      <c r="O3295" s="857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65"/>
    </row>
    <row r="3296" spans="1:28" s="900" customFormat="1" ht="15.75" customHeight="1">
      <c r="A3296" s="895" t="str">
        <f>IF(B3296&lt;&gt;"",IF(AND(B3296&gt;=_TM1,B3296&lt;=_TM2,OR(TH!L3296="1111",TH!M3296="1111")),TH!D3296,""),"")</f>
        <v/>
      </c>
      <c r="B3296" s="896">
        <f t="shared" si="171"/>
        <v>11</v>
      </c>
      <c r="C3296" s="897">
        <f t="shared" si="172"/>
        <v>42684</v>
      </c>
      <c r="D3296" s="897" t="s">
        <v>1580</v>
      </c>
      <c r="E3296" s="963">
        <v>42684</v>
      </c>
      <c r="F3296" s="964" t="s">
        <v>1415</v>
      </c>
      <c r="G3296" s="871" t="s">
        <v>1412</v>
      </c>
      <c r="H3296" s="965" t="s">
        <v>1328</v>
      </c>
      <c r="I3296" s="254">
        <v>37</v>
      </c>
      <c r="J3296" s="254">
        <v>34673.89332905694</v>
      </c>
      <c r="K3296" s="51">
        <f t="shared" si="173"/>
        <v>1282934</v>
      </c>
      <c r="L3296" s="966" t="s">
        <v>172</v>
      </c>
      <c r="M3296" s="966" t="s">
        <v>167</v>
      </c>
      <c r="N3296" s="52" t="str">
        <f>IF(AND('331-CT'!$E$7=TH!H3296,OR(L3296="331",M3296="331")),"331",IF(AND(OR(L3296="131",M3296="131"),H3296='131-CT'!$E$7),"131",""))</f>
        <v/>
      </c>
      <c r="O3296" s="857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65"/>
    </row>
    <row r="3297" spans="1:28" s="900" customFormat="1" ht="15.75" customHeight="1">
      <c r="A3297" s="895" t="str">
        <f>IF(B3297&lt;&gt;"",IF(AND(B3297&gt;=_TM1,B3297&lt;=_TM2,OR(TH!L3297="1111",TH!M3297="1111")),TH!D3297,""),"")</f>
        <v/>
      </c>
      <c r="B3297" s="896">
        <f t="shared" si="171"/>
        <v>11</v>
      </c>
      <c r="C3297" s="897">
        <f t="shared" si="172"/>
        <v>42684</v>
      </c>
      <c r="D3297" s="897" t="s">
        <v>1580</v>
      </c>
      <c r="E3297" s="963">
        <v>42684</v>
      </c>
      <c r="F3297" s="964" t="s">
        <v>1416</v>
      </c>
      <c r="G3297" s="871" t="s">
        <v>1412</v>
      </c>
      <c r="H3297" s="965" t="s">
        <v>1328</v>
      </c>
      <c r="I3297" s="254">
        <v>85</v>
      </c>
      <c r="J3297" s="254">
        <v>10123.764475637063</v>
      </c>
      <c r="K3297" s="51">
        <f t="shared" si="173"/>
        <v>860520</v>
      </c>
      <c r="L3297" s="966" t="s">
        <v>172</v>
      </c>
      <c r="M3297" s="966" t="s">
        <v>167</v>
      </c>
      <c r="N3297" s="52" t="str">
        <f>IF(AND('331-CT'!$E$7=TH!H3297,OR(L3297="331",M3297="331")),"331",IF(AND(OR(L3297="131",M3297="131"),H3297='131-CT'!$E$7),"131",""))</f>
        <v/>
      </c>
      <c r="O3297" s="857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65"/>
    </row>
    <row r="3298" spans="1:28" s="900" customFormat="1" ht="15.75" customHeight="1">
      <c r="A3298" s="895" t="str">
        <f>IF(B3298&lt;&gt;"",IF(AND(B3298&gt;=_TM1,B3298&lt;=_TM2,OR(TH!L3298="1111",TH!M3298="1111")),TH!D3298,""),"")</f>
        <v/>
      </c>
      <c r="B3298" s="896">
        <f t="shared" si="171"/>
        <v>11</v>
      </c>
      <c r="C3298" s="897">
        <f t="shared" si="172"/>
        <v>42684</v>
      </c>
      <c r="D3298" s="897" t="s">
        <v>1580</v>
      </c>
      <c r="E3298" s="963">
        <v>42684</v>
      </c>
      <c r="F3298" s="967" t="s">
        <v>1473</v>
      </c>
      <c r="G3298" s="871" t="s">
        <v>1417</v>
      </c>
      <c r="H3298" s="965" t="s">
        <v>1328</v>
      </c>
      <c r="I3298" s="254">
        <v>300</v>
      </c>
      <c r="J3298" s="254">
        <v>5483.7057576367424</v>
      </c>
      <c r="K3298" s="51">
        <f t="shared" si="173"/>
        <v>1645112</v>
      </c>
      <c r="L3298" s="966" t="s">
        <v>172</v>
      </c>
      <c r="M3298" s="966" t="s">
        <v>167</v>
      </c>
      <c r="N3298" s="52" t="str">
        <f>IF(AND('331-CT'!$E$7=TH!H3298,OR(L3298="331",M3298="331")),"331",IF(AND(OR(L3298="131",M3298="131"),H3298='131-CT'!$E$7),"131",""))</f>
        <v/>
      </c>
      <c r="O3298" s="857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65"/>
    </row>
    <row r="3299" spans="1:28" s="900" customFormat="1" ht="15.75" customHeight="1">
      <c r="A3299" s="895" t="str">
        <f>IF(B3299&lt;&gt;"",IF(AND(B3299&gt;=_TM1,B3299&lt;=_TM2,OR(TH!L3299="1111",TH!M3299="1111")),TH!D3299,""),"")</f>
        <v/>
      </c>
      <c r="B3299" s="896">
        <f t="shared" si="171"/>
        <v>11</v>
      </c>
      <c r="C3299" s="897">
        <f t="shared" si="172"/>
        <v>42686</v>
      </c>
      <c r="D3299" s="897" t="s">
        <v>1580</v>
      </c>
      <c r="E3299" s="963">
        <v>42686</v>
      </c>
      <c r="F3299" s="967" t="s">
        <v>1419</v>
      </c>
      <c r="G3299" s="871" t="s">
        <v>1418</v>
      </c>
      <c r="H3299" s="965" t="s">
        <v>1328</v>
      </c>
      <c r="I3299" s="972">
        <v>319</v>
      </c>
      <c r="J3299" s="972">
        <v>8099.0115805096493</v>
      </c>
      <c r="K3299" s="51">
        <f t="shared" si="173"/>
        <v>2583585</v>
      </c>
      <c r="L3299" s="966" t="s">
        <v>172</v>
      </c>
      <c r="M3299" s="966" t="s">
        <v>167</v>
      </c>
      <c r="N3299" s="52" t="str">
        <f>IF(AND('331-CT'!$E$7=TH!H3299,OR(L3299="331",M3299="331")),"331",IF(AND(OR(L3299="131",M3299="131"),H3299='131-CT'!$E$7),"131",""))</f>
        <v/>
      </c>
      <c r="O3299" s="857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65"/>
    </row>
    <row r="3300" spans="1:28" s="900" customFormat="1" ht="15.75" customHeight="1">
      <c r="A3300" s="895" t="str">
        <f>IF(B3300&lt;&gt;"",IF(AND(B3300&gt;=_TM1,B3300&lt;=_TM2,OR(TH!L3300="1111",TH!M3300="1111")),TH!D3300,""),"")</f>
        <v/>
      </c>
      <c r="B3300" s="896">
        <f t="shared" si="171"/>
        <v>11</v>
      </c>
      <c r="C3300" s="897">
        <f t="shared" si="172"/>
        <v>42688</v>
      </c>
      <c r="D3300" s="897" t="s">
        <v>1580</v>
      </c>
      <c r="E3300" s="963">
        <v>42688</v>
      </c>
      <c r="F3300" s="967" t="s">
        <v>1286</v>
      </c>
      <c r="G3300" s="871" t="s">
        <v>1420</v>
      </c>
      <c r="H3300" s="965" t="s">
        <v>1328</v>
      </c>
      <c r="I3300" s="254">
        <v>980</v>
      </c>
      <c r="J3300" s="254">
        <v>6917.9057250186588</v>
      </c>
      <c r="K3300" s="51">
        <f t="shared" si="173"/>
        <v>6779548</v>
      </c>
      <c r="L3300" s="966" t="s">
        <v>172</v>
      </c>
      <c r="M3300" s="966" t="s">
        <v>167</v>
      </c>
      <c r="N3300" s="52" t="str">
        <f>IF(AND('331-CT'!$E$7=TH!H3300,OR(L3300="331",M3300="331")),"331",IF(AND(OR(L3300="131",M3300="131"),H3300='131-CT'!$E$7),"131",""))</f>
        <v/>
      </c>
      <c r="O3300" s="857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65"/>
    </row>
    <row r="3301" spans="1:28" s="900" customFormat="1" ht="15.75" customHeight="1">
      <c r="A3301" s="895" t="str">
        <f>IF(B3301&lt;&gt;"",IF(AND(B3301&gt;=_TM1,B3301&lt;=_TM2,OR(TH!L3301="1111",TH!M3301="1111")),TH!D3301,""),"")</f>
        <v/>
      </c>
      <c r="B3301" s="896">
        <f t="shared" si="171"/>
        <v>11</v>
      </c>
      <c r="C3301" s="897">
        <f t="shared" si="172"/>
        <v>42688</v>
      </c>
      <c r="D3301" s="897" t="s">
        <v>1580</v>
      </c>
      <c r="E3301" s="963">
        <v>42688</v>
      </c>
      <c r="F3301" s="964" t="s">
        <v>1287</v>
      </c>
      <c r="G3301" s="871" t="s">
        <v>1420</v>
      </c>
      <c r="H3301" s="965" t="s">
        <v>1328</v>
      </c>
      <c r="I3301" s="254">
        <v>1066</v>
      </c>
      <c r="J3301" s="254">
        <v>7677.1880606914392</v>
      </c>
      <c r="K3301" s="51">
        <f t="shared" si="173"/>
        <v>8183882</v>
      </c>
      <c r="L3301" s="966" t="s">
        <v>172</v>
      </c>
      <c r="M3301" s="966" t="s">
        <v>167</v>
      </c>
      <c r="N3301" s="52" t="str">
        <f>IF(AND('331-CT'!$E$7=TH!H3301,OR(L3301="331",M3301="331")),"331",IF(AND(OR(L3301="131",M3301="131"),H3301='131-CT'!$E$7),"131",""))</f>
        <v/>
      </c>
      <c r="O3301" s="857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65"/>
    </row>
    <row r="3302" spans="1:28" s="900" customFormat="1" ht="15.75" customHeight="1">
      <c r="A3302" s="895" t="str">
        <f>IF(B3302&lt;&gt;"",IF(AND(B3302&gt;=_TM1,B3302&lt;=_TM2,OR(TH!L3302="1111",TH!M3302="1111")),TH!D3302,""),"")</f>
        <v/>
      </c>
      <c r="B3302" s="896">
        <f t="shared" si="171"/>
        <v>11</v>
      </c>
      <c r="C3302" s="897">
        <f t="shared" si="172"/>
        <v>42688</v>
      </c>
      <c r="D3302" s="897" t="s">
        <v>1580</v>
      </c>
      <c r="E3302" s="963">
        <v>42688</v>
      </c>
      <c r="F3302" s="964" t="s">
        <v>422</v>
      </c>
      <c r="G3302" s="871" t="s">
        <v>1420</v>
      </c>
      <c r="H3302" s="965" t="s">
        <v>1328</v>
      </c>
      <c r="I3302" s="254">
        <v>560</v>
      </c>
      <c r="J3302" s="254">
        <v>8183.3762844732919</v>
      </c>
      <c r="K3302" s="51">
        <f t="shared" si="173"/>
        <v>4582691</v>
      </c>
      <c r="L3302" s="966" t="s">
        <v>172</v>
      </c>
      <c r="M3302" s="966" t="s">
        <v>167</v>
      </c>
      <c r="N3302" s="52" t="str">
        <f>IF(AND('331-CT'!$E$7=TH!H3302,OR(L3302="331",M3302="331")),"331",IF(AND(OR(L3302="131",M3302="131"),H3302='131-CT'!$E$7),"131",""))</f>
        <v/>
      </c>
      <c r="O3302" s="857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65"/>
    </row>
    <row r="3303" spans="1:28" s="900" customFormat="1" ht="15.75" customHeight="1">
      <c r="A3303" s="895" t="str">
        <f>IF(B3303&lt;&gt;"",IF(AND(B3303&gt;=_TM1,B3303&lt;=_TM2,OR(TH!L3303="1111",TH!M3303="1111")),TH!D3303,""),"")</f>
        <v/>
      </c>
      <c r="B3303" s="896">
        <f t="shared" si="171"/>
        <v>11</v>
      </c>
      <c r="C3303" s="897">
        <f t="shared" si="172"/>
        <v>42689</v>
      </c>
      <c r="D3303" s="897" t="s">
        <v>1580</v>
      </c>
      <c r="E3303" s="963">
        <v>42689</v>
      </c>
      <c r="F3303" s="964" t="s">
        <v>1573</v>
      </c>
      <c r="G3303" s="871" t="s">
        <v>1572</v>
      </c>
      <c r="H3303" s="965" t="s">
        <v>1328</v>
      </c>
      <c r="I3303" s="254">
        <v>127</v>
      </c>
      <c r="J3303" s="254">
        <v>14763.823193637383</v>
      </c>
      <c r="K3303" s="51">
        <f t="shared" si="173"/>
        <v>1875006</v>
      </c>
      <c r="L3303" s="966" t="s">
        <v>172</v>
      </c>
      <c r="M3303" s="966" t="s">
        <v>167</v>
      </c>
      <c r="N3303" s="52" t="str">
        <f>IF(AND('331-CT'!$E$7=TH!H3303,OR(L3303="331",M3303="331")),"331",IF(AND(OR(L3303="131",M3303="131"),H3303='131-CT'!$E$7),"131",""))</f>
        <v/>
      </c>
      <c r="O3303" s="857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65"/>
    </row>
    <row r="3304" spans="1:28" s="900" customFormat="1" ht="15.75" customHeight="1">
      <c r="A3304" s="895" t="str">
        <f>IF(B3304&lt;&gt;"",IF(AND(B3304&gt;=_TM1,B3304&lt;=_TM2,OR(TH!L3304="1111",TH!M3304="1111")),TH!D3304,""),"")</f>
        <v/>
      </c>
      <c r="B3304" s="896">
        <f t="shared" si="171"/>
        <v>11</v>
      </c>
      <c r="C3304" s="897">
        <f t="shared" si="172"/>
        <v>42689</v>
      </c>
      <c r="D3304" s="897" t="s">
        <v>1580</v>
      </c>
      <c r="E3304" s="963">
        <v>42689</v>
      </c>
      <c r="F3304" s="964" t="s">
        <v>1505</v>
      </c>
      <c r="G3304" s="871" t="s">
        <v>1574</v>
      </c>
      <c r="H3304" s="965" t="s">
        <v>1328</v>
      </c>
      <c r="I3304" s="254">
        <v>3900</v>
      </c>
      <c r="J3304" s="254">
        <v>7086.635132945943</v>
      </c>
      <c r="K3304" s="51">
        <f t="shared" si="173"/>
        <v>27637877</v>
      </c>
      <c r="L3304" s="966" t="s">
        <v>172</v>
      </c>
      <c r="M3304" s="966" t="s">
        <v>167</v>
      </c>
      <c r="N3304" s="52" t="str">
        <f>IF(AND('331-CT'!$E$7=TH!H3304,OR(L3304="331",M3304="331")),"331",IF(AND(OR(L3304="131",M3304="131"),H3304='131-CT'!$E$7),"131",""))</f>
        <v/>
      </c>
      <c r="O3304" s="857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65"/>
    </row>
    <row r="3305" spans="1:28" s="900" customFormat="1" ht="15.75" customHeight="1">
      <c r="A3305" s="895" t="str">
        <f>IF(B3305&lt;&gt;"",IF(AND(B3305&gt;=_TM1,B3305&lt;=_TM2,OR(TH!L3305="1111",TH!M3305="1111")),TH!D3305,""),"")</f>
        <v/>
      </c>
      <c r="B3305" s="896">
        <f t="shared" si="171"/>
        <v>11</v>
      </c>
      <c r="C3305" s="897">
        <f t="shared" si="172"/>
        <v>42690</v>
      </c>
      <c r="D3305" s="897" t="s">
        <v>1580</v>
      </c>
      <c r="E3305" s="963">
        <v>42690</v>
      </c>
      <c r="F3305" s="964" t="s">
        <v>1478</v>
      </c>
      <c r="G3305" s="871" t="s">
        <v>1421</v>
      </c>
      <c r="H3305" s="965" t="s">
        <v>1328</v>
      </c>
      <c r="I3305" s="254">
        <v>200</v>
      </c>
      <c r="J3305" s="254">
        <v>9870.670363746136</v>
      </c>
      <c r="K3305" s="51">
        <f t="shared" si="173"/>
        <v>1974134</v>
      </c>
      <c r="L3305" s="966" t="s">
        <v>172</v>
      </c>
      <c r="M3305" s="966" t="s">
        <v>167</v>
      </c>
      <c r="N3305" s="52" t="str">
        <f>IF(AND('331-CT'!$E$7=TH!H3305,OR(L3305="331",M3305="331")),"331",IF(AND(OR(L3305="131",M3305="131"),H3305='131-CT'!$E$7),"131",""))</f>
        <v/>
      </c>
      <c r="O3305" s="857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65"/>
    </row>
    <row r="3306" spans="1:28" s="900" customFormat="1" ht="15.75" customHeight="1">
      <c r="A3306" s="895" t="str">
        <f>IF(B3306&lt;&gt;"",IF(AND(B3306&gt;=_TM1,B3306&lt;=_TM2,OR(TH!L3306="1111",TH!M3306="1111")),TH!D3306,""),"")</f>
        <v/>
      </c>
      <c r="B3306" s="896">
        <f t="shared" si="171"/>
        <v>11</v>
      </c>
      <c r="C3306" s="897">
        <f t="shared" si="172"/>
        <v>42691</v>
      </c>
      <c r="D3306" s="897" t="s">
        <v>1580</v>
      </c>
      <c r="E3306" s="963">
        <v>42691</v>
      </c>
      <c r="F3306" s="964" t="s">
        <v>1423</v>
      </c>
      <c r="G3306" s="871" t="s">
        <v>1422</v>
      </c>
      <c r="H3306" s="965" t="s">
        <v>1328</v>
      </c>
      <c r="I3306" s="254">
        <v>509</v>
      </c>
      <c r="J3306" s="254">
        <v>7508.458652764155</v>
      </c>
      <c r="K3306" s="51">
        <f t="shared" si="173"/>
        <v>3821805</v>
      </c>
      <c r="L3306" s="966" t="s">
        <v>172</v>
      </c>
      <c r="M3306" s="966" t="s">
        <v>167</v>
      </c>
      <c r="N3306" s="52" t="str">
        <f>IF(AND('331-CT'!$E$7=TH!H3306,OR(L3306="331",M3306="331")),"331",IF(AND(OR(L3306="131",M3306="131"),H3306='131-CT'!$E$7),"131",""))</f>
        <v/>
      </c>
      <c r="O3306" s="857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65"/>
    </row>
    <row r="3307" spans="1:28" s="900" customFormat="1" ht="15.75" customHeight="1">
      <c r="A3307" s="895" t="str">
        <f>IF(B3307&lt;&gt;"",IF(AND(B3307&gt;=_TM1,B3307&lt;=_TM2,OR(TH!L3307="1111",TH!M3307="1111")),TH!D3307,""),"")</f>
        <v/>
      </c>
      <c r="B3307" s="896">
        <f t="shared" si="171"/>
        <v>11</v>
      </c>
      <c r="C3307" s="897">
        <f t="shared" si="172"/>
        <v>42691</v>
      </c>
      <c r="D3307" s="897" t="s">
        <v>1580</v>
      </c>
      <c r="E3307" s="963">
        <v>42691</v>
      </c>
      <c r="F3307" s="964" t="s">
        <v>1424</v>
      </c>
      <c r="G3307" s="871" t="s">
        <v>1422</v>
      </c>
      <c r="H3307" s="965" t="s">
        <v>1328</v>
      </c>
      <c r="I3307" s="254">
        <v>208</v>
      </c>
      <c r="J3307" s="254">
        <v>8183.3762844732919</v>
      </c>
      <c r="K3307" s="51">
        <f t="shared" si="173"/>
        <v>1702142</v>
      </c>
      <c r="L3307" s="966" t="s">
        <v>172</v>
      </c>
      <c r="M3307" s="966" t="s">
        <v>167</v>
      </c>
      <c r="N3307" s="52" t="str">
        <f>IF(AND('331-CT'!$E$7=TH!H3307,OR(L3307="331",M3307="331")),"331",IF(AND(OR(L3307="131",M3307="131"),H3307='131-CT'!$E$7),"131",""))</f>
        <v/>
      </c>
      <c r="O3307" s="857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65"/>
    </row>
    <row r="3308" spans="1:28" s="900" customFormat="1" ht="15.75" customHeight="1">
      <c r="A3308" s="895" t="str">
        <f>IF(B3308&lt;&gt;"",IF(AND(B3308&gt;=_TM1,B3308&lt;=_TM2,OR(TH!L3308="1111",TH!M3308="1111")),TH!D3308,""),"")</f>
        <v/>
      </c>
      <c r="B3308" s="896">
        <f t="shared" si="171"/>
        <v>11</v>
      </c>
      <c r="C3308" s="897">
        <f t="shared" si="172"/>
        <v>42691</v>
      </c>
      <c r="D3308" s="897" t="s">
        <v>1580</v>
      </c>
      <c r="E3308" s="963">
        <v>42691</v>
      </c>
      <c r="F3308" s="964" t="s">
        <v>1425</v>
      </c>
      <c r="G3308" s="871" t="s">
        <v>1422</v>
      </c>
      <c r="H3308" s="965" t="s">
        <v>1328</v>
      </c>
      <c r="I3308" s="254">
        <v>205</v>
      </c>
      <c r="J3308" s="254">
        <v>8942.6586201460723</v>
      </c>
      <c r="K3308" s="51">
        <f t="shared" si="173"/>
        <v>1833245</v>
      </c>
      <c r="L3308" s="966" t="s">
        <v>172</v>
      </c>
      <c r="M3308" s="966" t="s">
        <v>167</v>
      </c>
      <c r="N3308" s="52" t="str">
        <f>IF(AND('331-CT'!$E$7=TH!H3308,OR(L3308="331",M3308="331")),"331",IF(AND(OR(L3308="131",M3308="131"),H3308='131-CT'!$E$7),"131",""))</f>
        <v/>
      </c>
      <c r="O3308" s="857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65"/>
    </row>
    <row r="3309" spans="1:28" s="900" customFormat="1" ht="15.75" customHeight="1">
      <c r="A3309" s="895" t="str">
        <f>IF(B3309&lt;&gt;"",IF(AND(B3309&gt;=_TM1,B3309&lt;=_TM2,OR(TH!L3309="1111",TH!M3309="1111")),TH!D3309,""),"")</f>
        <v/>
      </c>
      <c r="B3309" s="896">
        <f t="shared" si="171"/>
        <v>11</v>
      </c>
      <c r="C3309" s="897">
        <f t="shared" si="172"/>
        <v>42692</v>
      </c>
      <c r="D3309" s="897" t="s">
        <v>1580</v>
      </c>
      <c r="E3309" s="963">
        <v>42692</v>
      </c>
      <c r="F3309" s="964" t="s">
        <v>562</v>
      </c>
      <c r="G3309" s="871" t="s">
        <v>1427</v>
      </c>
      <c r="H3309" s="965" t="s">
        <v>1328</v>
      </c>
      <c r="I3309" s="254">
        <v>500</v>
      </c>
      <c r="J3309" s="254">
        <v>19488.246615601347</v>
      </c>
      <c r="K3309" s="51">
        <f t="shared" si="173"/>
        <v>9744123</v>
      </c>
      <c r="L3309" s="966" t="s">
        <v>172</v>
      </c>
      <c r="M3309" s="966" t="s">
        <v>167</v>
      </c>
      <c r="N3309" s="52" t="str">
        <f>IF(AND('331-CT'!$E$7=TH!H3309,OR(L3309="331",M3309="331")),"331",IF(AND(OR(L3309="131",M3309="131"),H3309='131-CT'!$E$7),"131",""))</f>
        <v/>
      </c>
      <c r="O3309" s="857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65"/>
    </row>
    <row r="3310" spans="1:28" s="900" customFormat="1" ht="15.75" customHeight="1">
      <c r="A3310" s="895" t="str">
        <f>IF(B3310&lt;&gt;"",IF(AND(B3310&gt;=_TM1,B3310&lt;=_TM2,OR(TH!L3310="1111",TH!M3310="1111")),TH!D3310,""),"")</f>
        <v/>
      </c>
      <c r="B3310" s="896">
        <f t="shared" si="171"/>
        <v>11</v>
      </c>
      <c r="C3310" s="897">
        <f t="shared" si="172"/>
        <v>42696</v>
      </c>
      <c r="D3310" s="897" t="s">
        <v>1580</v>
      </c>
      <c r="E3310" s="963">
        <v>42696</v>
      </c>
      <c r="F3310" s="964" t="s">
        <v>954</v>
      </c>
      <c r="G3310" s="871" t="s">
        <v>1428</v>
      </c>
      <c r="H3310" s="965" t="s">
        <v>1328</v>
      </c>
      <c r="I3310" s="254">
        <v>135</v>
      </c>
      <c r="J3310" s="254">
        <v>11304.870331128053</v>
      </c>
      <c r="K3310" s="51">
        <f t="shared" si="173"/>
        <v>1526157</v>
      </c>
      <c r="L3310" s="966" t="s">
        <v>172</v>
      </c>
      <c r="M3310" s="966" t="s">
        <v>167</v>
      </c>
      <c r="N3310" s="52" t="str">
        <f>IF(AND('331-CT'!$E$7=TH!H3310,OR(L3310="331",M3310="331")),"331",IF(AND(OR(L3310="131",M3310="131"),H3310='131-CT'!$E$7),"131",""))</f>
        <v/>
      </c>
      <c r="O3310" s="857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65"/>
    </row>
    <row r="3311" spans="1:28" s="900" customFormat="1" ht="15.75" customHeight="1">
      <c r="A3311" s="895" t="str">
        <f>IF(B3311&lt;&gt;"",IF(AND(B3311&gt;=_TM1,B3311&lt;=_TM2,OR(TH!L3311="1111",TH!M3311="1111")),TH!D3311,""),"")</f>
        <v/>
      </c>
      <c r="B3311" s="896">
        <f t="shared" si="171"/>
        <v>11</v>
      </c>
      <c r="C3311" s="897">
        <f t="shared" si="172"/>
        <v>42696</v>
      </c>
      <c r="D3311" s="897" t="s">
        <v>1580</v>
      </c>
      <c r="E3311" s="963">
        <v>42696</v>
      </c>
      <c r="F3311" s="967" t="s">
        <v>1465</v>
      </c>
      <c r="G3311" s="871" t="s">
        <v>1429</v>
      </c>
      <c r="H3311" s="965" t="s">
        <v>1328</v>
      </c>
      <c r="I3311" s="254">
        <v>300</v>
      </c>
      <c r="J3311" s="254">
        <v>8605.1998042915038</v>
      </c>
      <c r="K3311" s="51">
        <f t="shared" si="173"/>
        <v>2581560</v>
      </c>
      <c r="L3311" s="966" t="s">
        <v>172</v>
      </c>
      <c r="M3311" s="966" t="s">
        <v>167</v>
      </c>
      <c r="N3311" s="52" t="str">
        <f>IF(AND('331-CT'!$E$7=TH!H3311,OR(L3311="331",M3311="331")),"331",IF(AND(OR(L3311="131",M3311="131"),H3311='131-CT'!$E$7),"131",""))</f>
        <v/>
      </c>
      <c r="O3311" s="857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65"/>
    </row>
    <row r="3312" spans="1:28" s="900" customFormat="1" ht="15.75" customHeight="1">
      <c r="A3312" s="895" t="str">
        <f>IF(B3312&lt;&gt;"",IF(AND(B3312&gt;=_TM1,B3312&lt;=_TM2,OR(TH!L3312="1111",TH!M3312="1111")),TH!D3312,""),"")</f>
        <v/>
      </c>
      <c r="B3312" s="896">
        <f t="shared" si="171"/>
        <v>11</v>
      </c>
      <c r="C3312" s="897">
        <f t="shared" si="172"/>
        <v>42697</v>
      </c>
      <c r="D3312" s="897" t="s">
        <v>1580</v>
      </c>
      <c r="E3312" s="963">
        <v>42697</v>
      </c>
      <c r="F3312" s="967" t="s">
        <v>1432</v>
      </c>
      <c r="G3312" s="871" t="s">
        <v>1430</v>
      </c>
      <c r="H3312" s="965" t="s">
        <v>1328</v>
      </c>
      <c r="I3312" s="254">
        <v>10170</v>
      </c>
      <c r="J3312" s="254">
        <v>6580.4469091640904</v>
      </c>
      <c r="K3312" s="51">
        <f t="shared" si="173"/>
        <v>66923145</v>
      </c>
      <c r="L3312" s="966" t="s">
        <v>172</v>
      </c>
      <c r="M3312" s="966" t="s">
        <v>167</v>
      </c>
      <c r="N3312" s="52" t="str">
        <f>IF(AND('331-CT'!$E$7=TH!H3312,OR(L3312="331",M3312="331")),"331",IF(AND(OR(L3312="131",M3312="131"),H3312='131-CT'!$E$7),"131",""))</f>
        <v/>
      </c>
      <c r="O3312" s="857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65"/>
    </row>
    <row r="3313" spans="1:28" s="900" customFormat="1" ht="15.75" customHeight="1">
      <c r="A3313" s="895" t="str">
        <f>IF(B3313&lt;&gt;"",IF(AND(B3313&gt;=_TM1,B3313&lt;=_TM2,OR(TH!L3313="1111",TH!M3313="1111")),TH!D3313,""),"")</f>
        <v/>
      </c>
      <c r="B3313" s="896">
        <f t="shared" si="171"/>
        <v>11</v>
      </c>
      <c r="C3313" s="897">
        <f t="shared" si="172"/>
        <v>42697</v>
      </c>
      <c r="D3313" s="897" t="s">
        <v>1580</v>
      </c>
      <c r="E3313" s="963">
        <v>42697</v>
      </c>
      <c r="F3313" s="967" t="s">
        <v>1286</v>
      </c>
      <c r="G3313" s="871" t="s">
        <v>1433</v>
      </c>
      <c r="H3313" s="965" t="s">
        <v>1328</v>
      </c>
      <c r="I3313" s="254">
        <v>637</v>
      </c>
      <c r="J3313" s="254">
        <v>6917.9057250186588</v>
      </c>
      <c r="K3313" s="51">
        <f t="shared" si="173"/>
        <v>4406706</v>
      </c>
      <c r="L3313" s="966" t="s">
        <v>172</v>
      </c>
      <c r="M3313" s="966" t="s">
        <v>167</v>
      </c>
      <c r="N3313" s="52" t="str">
        <f>IF(AND('331-CT'!$E$7=TH!H3313,OR(L3313="331",M3313="331")),"331",IF(AND(OR(L3313="131",M3313="131"),H3313='131-CT'!$E$7),"131",""))</f>
        <v/>
      </c>
      <c r="O3313" s="857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65"/>
    </row>
    <row r="3314" spans="1:28" s="900" customFormat="1" ht="15.75" customHeight="1">
      <c r="A3314" s="895" t="str">
        <f>IF(B3314&lt;&gt;"",IF(AND(B3314&gt;=_TM1,B3314&lt;=_TM2,OR(TH!L3314="1111",TH!M3314="1111")),TH!D3314,""),"")</f>
        <v/>
      </c>
      <c r="B3314" s="896">
        <f t="shared" si="171"/>
        <v>11</v>
      </c>
      <c r="C3314" s="897">
        <f t="shared" si="172"/>
        <v>42697</v>
      </c>
      <c r="D3314" s="897" t="s">
        <v>1580</v>
      </c>
      <c r="E3314" s="963">
        <v>42697</v>
      </c>
      <c r="F3314" s="964" t="s">
        <v>1434</v>
      </c>
      <c r="G3314" s="871" t="s">
        <v>1433</v>
      </c>
      <c r="H3314" s="965" t="s">
        <v>1328</v>
      </c>
      <c r="I3314" s="254">
        <v>469</v>
      </c>
      <c r="J3314" s="254">
        <v>13498.352634182751</v>
      </c>
      <c r="K3314" s="51">
        <f t="shared" si="173"/>
        <v>6330727</v>
      </c>
      <c r="L3314" s="966" t="s">
        <v>172</v>
      </c>
      <c r="M3314" s="966" t="s">
        <v>167</v>
      </c>
      <c r="N3314" s="52" t="str">
        <f>IF(AND('331-CT'!$E$7=TH!H3314,OR(L3314="331",M3314="331")),"331",IF(AND(OR(L3314="131",M3314="131"),H3314='131-CT'!$E$7),"131",""))</f>
        <v/>
      </c>
      <c r="O3314" s="857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65"/>
    </row>
    <row r="3315" spans="1:28" s="900" customFormat="1" ht="15.75" customHeight="1">
      <c r="A3315" s="895" t="str">
        <f>IF(B3315&lt;&gt;"",IF(AND(B3315&gt;=_TM1,B3315&lt;=_TM2,OR(TH!L3315="1111",TH!M3315="1111")),TH!D3315,""),"")</f>
        <v/>
      </c>
      <c r="B3315" s="896">
        <f t="shared" si="171"/>
        <v>11</v>
      </c>
      <c r="C3315" s="897">
        <f t="shared" si="172"/>
        <v>42699</v>
      </c>
      <c r="D3315" s="897" t="s">
        <v>1580</v>
      </c>
      <c r="E3315" s="963">
        <v>42699</v>
      </c>
      <c r="F3315" s="964" t="s">
        <v>1474</v>
      </c>
      <c r="G3315" s="871" t="s">
        <v>1435</v>
      </c>
      <c r="H3315" s="965" t="s">
        <v>1328</v>
      </c>
      <c r="I3315" s="254">
        <v>520</v>
      </c>
      <c r="J3315" s="254">
        <v>8014.6468765460077</v>
      </c>
      <c r="K3315" s="51">
        <f t="shared" si="173"/>
        <v>4167616</v>
      </c>
      <c r="L3315" s="966" t="s">
        <v>172</v>
      </c>
      <c r="M3315" s="966" t="s">
        <v>167</v>
      </c>
      <c r="N3315" s="52" t="str">
        <f>IF(AND('331-CT'!$E$7=TH!H3315,OR(L3315="331",M3315="331")),"331",IF(AND(OR(L3315="131",M3315="131"),H3315='131-CT'!$E$7),"131",""))</f>
        <v/>
      </c>
      <c r="O3315" s="857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65"/>
    </row>
    <row r="3316" spans="1:28" s="900" customFormat="1" ht="15.75" customHeight="1">
      <c r="A3316" s="895" t="str">
        <f>IF(B3316&lt;&gt;"",IF(AND(B3316&gt;=_TM1,B3316&lt;=_TM2,OR(TH!L3316="1111",TH!M3316="1111")),TH!D3316,""),"")</f>
        <v/>
      </c>
      <c r="B3316" s="896">
        <f t="shared" si="171"/>
        <v>11</v>
      </c>
      <c r="C3316" s="897">
        <f t="shared" si="172"/>
        <v>42699</v>
      </c>
      <c r="D3316" s="897" t="s">
        <v>1580</v>
      </c>
      <c r="E3316" s="963">
        <v>42699</v>
      </c>
      <c r="F3316" s="964" t="s">
        <v>1474</v>
      </c>
      <c r="G3316" s="871" t="s">
        <v>1435</v>
      </c>
      <c r="H3316" s="965" t="s">
        <v>1328</v>
      </c>
      <c r="I3316" s="254">
        <v>506</v>
      </c>
      <c r="J3316" s="254">
        <v>8014.6468765460077</v>
      </c>
      <c r="K3316" s="51">
        <f t="shared" si="173"/>
        <v>4055411</v>
      </c>
      <c r="L3316" s="966" t="s">
        <v>172</v>
      </c>
      <c r="M3316" s="966" t="s">
        <v>167</v>
      </c>
      <c r="N3316" s="52" t="str">
        <f>IF(AND('331-CT'!$E$7=TH!H3316,OR(L3316="331",M3316="331")),"331",IF(AND(OR(L3316="131",M3316="131"),H3316='131-CT'!$E$7),"131",""))</f>
        <v/>
      </c>
      <c r="O3316" s="857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65"/>
    </row>
    <row r="3317" spans="1:28" s="900" customFormat="1" ht="15.75" customHeight="1">
      <c r="A3317" s="895" t="str">
        <f>IF(B3317&lt;&gt;"",IF(AND(B3317&gt;=_TM1,B3317&lt;=_TM2,OR(TH!L3317="1111",TH!M3317="1111")),TH!D3317,""),"")</f>
        <v/>
      </c>
      <c r="B3317" s="896">
        <f t="shared" si="171"/>
        <v>11</v>
      </c>
      <c r="C3317" s="897">
        <f t="shared" si="172"/>
        <v>42699</v>
      </c>
      <c r="D3317" s="897" t="s">
        <v>1580</v>
      </c>
      <c r="E3317" s="963">
        <v>42699</v>
      </c>
      <c r="F3317" s="964" t="s">
        <v>1409</v>
      </c>
      <c r="G3317" s="871" t="s">
        <v>1436</v>
      </c>
      <c r="H3317" s="965" t="s">
        <v>1328</v>
      </c>
      <c r="I3317" s="254">
        <v>131</v>
      </c>
      <c r="J3317" s="254">
        <v>9448.8468439279259</v>
      </c>
      <c r="K3317" s="51">
        <f t="shared" si="173"/>
        <v>1237799</v>
      </c>
      <c r="L3317" s="966" t="s">
        <v>172</v>
      </c>
      <c r="M3317" s="966" t="s">
        <v>167</v>
      </c>
      <c r="N3317" s="52" t="str">
        <f>IF(AND('331-CT'!$E$7=TH!H3317,OR(L3317="331",M3317="331")),"331",IF(AND(OR(L3317="131",M3317="131"),H3317='131-CT'!$E$7),"131",""))</f>
        <v/>
      </c>
      <c r="O3317" s="857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65"/>
    </row>
    <row r="3318" spans="1:28" s="900" customFormat="1" ht="15.75" customHeight="1">
      <c r="A3318" s="895" t="str">
        <f>IF(B3318&lt;&gt;"",IF(AND(B3318&gt;=_TM1,B3318&lt;=_TM2,OR(TH!L3318="1111",TH!M3318="1111")),TH!D3318,""),"")</f>
        <v/>
      </c>
      <c r="B3318" s="896">
        <f t="shared" si="171"/>
        <v>11</v>
      </c>
      <c r="C3318" s="897">
        <f t="shared" si="172"/>
        <v>42699</v>
      </c>
      <c r="D3318" s="897" t="s">
        <v>1580</v>
      </c>
      <c r="E3318" s="963">
        <v>42699</v>
      </c>
      <c r="F3318" s="964" t="s">
        <v>1437</v>
      </c>
      <c r="G3318" s="871" t="s">
        <v>1436</v>
      </c>
      <c r="H3318" s="965" t="s">
        <v>1328</v>
      </c>
      <c r="I3318" s="254">
        <v>156</v>
      </c>
      <c r="J3318" s="254">
        <v>7845.9174686187234</v>
      </c>
      <c r="K3318" s="51">
        <f t="shared" si="173"/>
        <v>1223963</v>
      </c>
      <c r="L3318" s="966" t="s">
        <v>172</v>
      </c>
      <c r="M3318" s="966" t="s">
        <v>167</v>
      </c>
      <c r="N3318" s="52" t="str">
        <f>IF(AND('331-CT'!$E$7=TH!H3318,OR(L3318="331",M3318="331")),"331",IF(AND(OR(L3318="131",M3318="131"),H3318='131-CT'!$E$7),"131",""))</f>
        <v/>
      </c>
      <c r="O3318" s="857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65"/>
    </row>
    <row r="3319" spans="1:28" s="900" customFormat="1" ht="15.75" customHeight="1">
      <c r="A3319" s="895" t="str">
        <f>IF(B3319&lt;&gt;"",IF(AND(B3319&gt;=_TM1,B3319&lt;=_TM2,OR(TH!L3319="1111",TH!M3319="1111")),TH!D3319,""),"")</f>
        <v/>
      </c>
      <c r="B3319" s="896">
        <f t="shared" si="171"/>
        <v>11</v>
      </c>
      <c r="C3319" s="897">
        <f t="shared" si="172"/>
        <v>42699</v>
      </c>
      <c r="D3319" s="897" t="s">
        <v>1580</v>
      </c>
      <c r="E3319" s="963">
        <v>42699</v>
      </c>
      <c r="F3319" s="964" t="s">
        <v>1439</v>
      </c>
      <c r="G3319" s="871" t="s">
        <v>1438</v>
      </c>
      <c r="H3319" s="965" t="s">
        <v>1328</v>
      </c>
      <c r="I3319" s="254">
        <v>23</v>
      </c>
      <c r="J3319" s="254">
        <v>10208.129179600704</v>
      </c>
      <c r="K3319" s="51">
        <f t="shared" si="173"/>
        <v>234787</v>
      </c>
      <c r="L3319" s="966" t="s">
        <v>172</v>
      </c>
      <c r="M3319" s="966" t="s">
        <v>167</v>
      </c>
      <c r="N3319" s="52" t="str">
        <f>IF(AND('331-CT'!$E$7=TH!H3319,OR(L3319="331",M3319="331")),"331",IF(AND(OR(L3319="131",M3319="131"),H3319='131-CT'!$E$7),"131",""))</f>
        <v/>
      </c>
      <c r="O3319" s="857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65"/>
    </row>
    <row r="3320" spans="1:28" s="900" customFormat="1" ht="15.75" customHeight="1">
      <c r="A3320" s="895" t="str">
        <f>IF(B3320&lt;&gt;"",IF(AND(B3320&gt;=_TM1,B3320&lt;=_TM2,OR(TH!L3320="1111",TH!M3320="1111")),TH!D3320,""),"")</f>
        <v/>
      </c>
      <c r="B3320" s="896">
        <f t="shared" si="171"/>
        <v>11</v>
      </c>
      <c r="C3320" s="897">
        <f t="shared" si="172"/>
        <v>42699</v>
      </c>
      <c r="D3320" s="897" t="s">
        <v>1580</v>
      </c>
      <c r="E3320" s="963">
        <v>42699</v>
      </c>
      <c r="F3320" s="964" t="s">
        <v>1440</v>
      </c>
      <c r="G3320" s="871" t="s">
        <v>1438</v>
      </c>
      <c r="H3320" s="965" t="s">
        <v>1328</v>
      </c>
      <c r="I3320" s="254">
        <v>500</v>
      </c>
      <c r="J3320" s="254">
        <v>8942.6586201460723</v>
      </c>
      <c r="K3320" s="51">
        <f t="shared" si="173"/>
        <v>4471329</v>
      </c>
      <c r="L3320" s="966" t="s">
        <v>172</v>
      </c>
      <c r="M3320" s="966" t="s">
        <v>167</v>
      </c>
      <c r="N3320" s="52" t="str">
        <f>IF(AND('331-CT'!$E$7=TH!H3320,OR(L3320="331",M3320="331")),"331",IF(AND(OR(L3320="131",M3320="131"),H3320='131-CT'!$E$7),"131",""))</f>
        <v/>
      </c>
      <c r="O3320" s="857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65"/>
    </row>
    <row r="3321" spans="1:28" s="900" customFormat="1" ht="15.75" customHeight="1">
      <c r="A3321" s="895" t="str">
        <f>IF(B3321&lt;&gt;"",IF(AND(B3321&gt;=_TM1,B3321&lt;=_TM2,OR(TH!L3321="1111",TH!M3321="1111")),TH!D3321,""),"")</f>
        <v/>
      </c>
      <c r="B3321" s="896">
        <f t="shared" si="171"/>
        <v>11</v>
      </c>
      <c r="C3321" s="897">
        <f t="shared" si="172"/>
        <v>42700</v>
      </c>
      <c r="D3321" s="897" t="s">
        <v>1580</v>
      </c>
      <c r="E3321" s="963">
        <v>42700</v>
      </c>
      <c r="F3321" s="964" t="s">
        <v>1477</v>
      </c>
      <c r="G3321" s="871" t="s">
        <v>1445</v>
      </c>
      <c r="H3321" s="965" t="s">
        <v>1328</v>
      </c>
      <c r="I3321" s="254">
        <v>200</v>
      </c>
      <c r="J3321" s="254">
        <v>17632.223128401216</v>
      </c>
      <c r="K3321" s="51">
        <f t="shared" si="173"/>
        <v>3526445</v>
      </c>
      <c r="L3321" s="966" t="s">
        <v>172</v>
      </c>
      <c r="M3321" s="966" t="s">
        <v>167</v>
      </c>
      <c r="N3321" s="52" t="str">
        <f>IF(AND('331-CT'!$E$7=TH!H3321,OR(L3321="331",M3321="331")),"331",IF(AND(OR(L3321="131",M3321="131"),H3321='131-CT'!$E$7),"131",""))</f>
        <v/>
      </c>
      <c r="O3321" s="857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65"/>
    </row>
    <row r="3322" spans="1:28" s="900" customFormat="1" ht="15.75" customHeight="1">
      <c r="A3322" s="895" t="str">
        <f>IF(B3322&lt;&gt;"",IF(AND(B3322&gt;=_TM1,B3322&lt;=_TM2,OR(TH!L3322="1111",TH!M3322="1111")),TH!D3322,""),"")</f>
        <v/>
      </c>
      <c r="B3322" s="896">
        <f t="shared" ref="B3322:B3371" si="174">IF(C3322&lt;&gt;"",MONTH(C3322),"")</f>
        <v>11</v>
      </c>
      <c r="C3322" s="897">
        <f t="shared" si="172"/>
        <v>42700</v>
      </c>
      <c r="D3322" s="897" t="s">
        <v>1580</v>
      </c>
      <c r="E3322" s="963">
        <v>42700</v>
      </c>
      <c r="F3322" s="964" t="s">
        <v>1366</v>
      </c>
      <c r="G3322" s="871" t="s">
        <v>841</v>
      </c>
      <c r="H3322" s="965" t="s">
        <v>1328</v>
      </c>
      <c r="I3322" s="254">
        <v>259</v>
      </c>
      <c r="J3322" s="254">
        <v>7845.9174686187234</v>
      </c>
      <c r="K3322" s="51">
        <f t="shared" si="173"/>
        <v>2032093</v>
      </c>
      <c r="L3322" s="966" t="s">
        <v>172</v>
      </c>
      <c r="M3322" s="966" t="s">
        <v>167</v>
      </c>
      <c r="N3322" s="52" t="str">
        <f>IF(AND('331-CT'!$E$7=TH!H3322,OR(L3322="331",M3322="331")),"331",IF(AND(OR(L3322="131",M3322="131"),H3322='131-CT'!$E$7),"131",""))</f>
        <v/>
      </c>
      <c r="O3322" s="857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65"/>
    </row>
    <row r="3323" spans="1:28" s="900" customFormat="1" ht="15.75" customHeight="1">
      <c r="A3323" s="895" t="str">
        <f>IF(B3323&lt;&gt;"",IF(AND(B3323&gt;=_TM1,B3323&lt;=_TM2,OR(TH!L3323="1111",TH!M3323="1111")),TH!D3323,""),"")</f>
        <v/>
      </c>
      <c r="B3323" s="896">
        <f t="shared" si="174"/>
        <v>11</v>
      </c>
      <c r="C3323" s="897">
        <f t="shared" si="172"/>
        <v>42700</v>
      </c>
      <c r="D3323" s="897" t="s">
        <v>1580</v>
      </c>
      <c r="E3323" s="963">
        <v>42700</v>
      </c>
      <c r="F3323" s="964" t="s">
        <v>1446</v>
      </c>
      <c r="G3323" s="871" t="s">
        <v>841</v>
      </c>
      <c r="H3323" s="965" t="s">
        <v>1328</v>
      </c>
      <c r="I3323" s="254">
        <v>286</v>
      </c>
      <c r="J3323" s="254">
        <v>12401.611482655402</v>
      </c>
      <c r="K3323" s="51">
        <f t="shared" si="173"/>
        <v>3546861</v>
      </c>
      <c r="L3323" s="966" t="s">
        <v>172</v>
      </c>
      <c r="M3323" s="966" t="s">
        <v>167</v>
      </c>
      <c r="N3323" s="52" t="str">
        <f>IF(AND('331-CT'!$E$7=TH!H3323,OR(L3323="331",M3323="331")),"331",IF(AND(OR(L3323="131",M3323="131"),H3323='131-CT'!$E$7),"131",""))</f>
        <v/>
      </c>
      <c r="O3323" s="857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65"/>
    </row>
    <row r="3324" spans="1:28" s="900" customFormat="1" ht="15.75" customHeight="1">
      <c r="A3324" s="895" t="str">
        <f>IF(B3324&lt;&gt;"",IF(AND(B3324&gt;=_TM1,B3324&lt;=_TM2,OR(TH!L3324="1111",TH!M3324="1111")),TH!D3324,""),"")</f>
        <v/>
      </c>
      <c r="B3324" s="896">
        <f t="shared" si="174"/>
        <v>11</v>
      </c>
      <c r="C3324" s="897">
        <f t="shared" si="172"/>
        <v>42700</v>
      </c>
      <c r="D3324" s="897" t="s">
        <v>1580</v>
      </c>
      <c r="E3324" s="963">
        <v>42700</v>
      </c>
      <c r="F3324" s="964" t="s">
        <v>1447</v>
      </c>
      <c r="G3324" s="871" t="s">
        <v>841</v>
      </c>
      <c r="H3324" s="965" t="s">
        <v>1328</v>
      </c>
      <c r="I3324" s="254">
        <v>308</v>
      </c>
      <c r="J3324" s="254">
        <v>7930.2821725823651</v>
      </c>
      <c r="K3324" s="51">
        <f t="shared" si="173"/>
        <v>2442527</v>
      </c>
      <c r="L3324" s="966" t="s">
        <v>172</v>
      </c>
      <c r="M3324" s="966" t="s">
        <v>167</v>
      </c>
      <c r="N3324" s="52" t="str">
        <f>IF(AND('331-CT'!$E$7=TH!H3324,OR(L3324="331",M3324="331")),"331",IF(AND(OR(L3324="131",M3324="131"),H3324='131-CT'!$E$7),"131",""))</f>
        <v/>
      </c>
      <c r="O3324" s="857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65"/>
    </row>
    <row r="3325" spans="1:28" s="900" customFormat="1" ht="15.75" customHeight="1">
      <c r="A3325" s="895" t="str">
        <f>IF(B3325&lt;&gt;"",IF(AND(B3325&gt;=_TM1,B3325&lt;=_TM2,OR(TH!L3325="1111",TH!M3325="1111")),TH!D3325,""),"")</f>
        <v/>
      </c>
      <c r="B3325" s="896">
        <f t="shared" si="174"/>
        <v>11</v>
      </c>
      <c r="C3325" s="897">
        <f t="shared" si="172"/>
        <v>42701</v>
      </c>
      <c r="D3325" s="897" t="s">
        <v>1580</v>
      </c>
      <c r="E3325" s="963">
        <v>42701</v>
      </c>
      <c r="F3325" s="870" t="s">
        <v>1449</v>
      </c>
      <c r="G3325" s="871" t="s">
        <v>1448</v>
      </c>
      <c r="H3325" s="965" t="s">
        <v>1328</v>
      </c>
      <c r="I3325" s="254">
        <v>48</v>
      </c>
      <c r="J3325" s="254">
        <v>9786.3056597824925</v>
      </c>
      <c r="K3325" s="51">
        <f t="shared" si="173"/>
        <v>469743</v>
      </c>
      <c r="L3325" s="966" t="s">
        <v>172</v>
      </c>
      <c r="M3325" s="966" t="s">
        <v>167</v>
      </c>
      <c r="N3325" s="52" t="str">
        <f>IF(AND('331-CT'!$E$7=TH!H3325,OR(L3325="331",M3325="331")),"331",IF(AND(OR(L3325="131",M3325="131"),H3325='131-CT'!$E$7),"131",""))</f>
        <v/>
      </c>
      <c r="O3325" s="857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65"/>
    </row>
    <row r="3326" spans="1:28" s="900" customFormat="1" ht="15.75" customHeight="1">
      <c r="A3326" s="895" t="str">
        <f>IF(B3326&lt;&gt;"",IF(AND(B3326&gt;=_TM1,B3326&lt;=_TM2,OR(TH!L3326="1111",TH!M3326="1111")),TH!D3326,""),"")</f>
        <v/>
      </c>
      <c r="B3326" s="896">
        <f t="shared" si="174"/>
        <v>11</v>
      </c>
      <c r="C3326" s="897">
        <f t="shared" si="172"/>
        <v>42701</v>
      </c>
      <c r="D3326" s="897" t="s">
        <v>1580</v>
      </c>
      <c r="E3326" s="963">
        <v>42701</v>
      </c>
      <c r="F3326" s="870" t="s">
        <v>1505</v>
      </c>
      <c r="G3326" s="871" t="s">
        <v>1502</v>
      </c>
      <c r="H3326" s="965" t="s">
        <v>1328</v>
      </c>
      <c r="I3326" s="972">
        <v>4000</v>
      </c>
      <c r="J3326" s="972">
        <v>7086.635132945943</v>
      </c>
      <c r="K3326" s="51">
        <f t="shared" si="173"/>
        <v>28346541</v>
      </c>
      <c r="L3326" s="966" t="s">
        <v>172</v>
      </c>
      <c r="M3326" s="966" t="s">
        <v>167</v>
      </c>
      <c r="N3326" s="52" t="str">
        <f>IF(AND('331-CT'!$E$7=TH!H3326,OR(L3326="331",M3326="331")),"331",IF(AND(OR(L3326="131",M3326="131"),H3326='131-CT'!$E$7),"131",""))</f>
        <v/>
      </c>
      <c r="O3326" s="857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65"/>
    </row>
    <row r="3327" spans="1:28" s="900" customFormat="1" ht="15.75" customHeight="1">
      <c r="A3327" s="895" t="str">
        <f>IF(B3327&lt;&gt;"",IF(AND(B3327&gt;=_TM1,B3327&lt;=_TM2,OR(TH!L3327="1111",TH!M3327="1111")),TH!D3327,""),"")</f>
        <v/>
      </c>
      <c r="B3327" s="896">
        <f t="shared" si="174"/>
        <v>11</v>
      </c>
      <c r="C3327" s="897">
        <f t="shared" ref="C3327:C3368" si="175">E3327</f>
        <v>42702</v>
      </c>
      <c r="D3327" s="897" t="s">
        <v>1580</v>
      </c>
      <c r="E3327" s="963">
        <v>42702</v>
      </c>
      <c r="F3327" s="870" t="s">
        <v>1505</v>
      </c>
      <c r="G3327" s="871" t="s">
        <v>1506</v>
      </c>
      <c r="H3327" s="965" t="s">
        <v>1328</v>
      </c>
      <c r="I3327" s="972">
        <v>1700</v>
      </c>
      <c r="J3327" s="972">
        <v>7086.635132945943</v>
      </c>
      <c r="K3327" s="51">
        <f t="shared" si="173"/>
        <v>12047280</v>
      </c>
      <c r="L3327" s="966" t="s">
        <v>172</v>
      </c>
      <c r="M3327" s="966" t="s">
        <v>167</v>
      </c>
      <c r="N3327" s="52" t="str">
        <f>IF(AND('331-CT'!$E$7=TH!H3327,OR(L3327="331",M3327="331")),"331",IF(AND(OR(L3327="131",M3327="131"),H3327='131-CT'!$E$7),"131",""))</f>
        <v/>
      </c>
      <c r="O3327" s="857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65"/>
    </row>
    <row r="3328" spans="1:28" s="900" customFormat="1" ht="15.75" customHeight="1">
      <c r="A3328" s="895" t="str">
        <f>IF(B3328&lt;&gt;"",IF(AND(B3328&gt;=_TM1,B3328&lt;=_TM2,OR(TH!L3328="1111",TH!M3328="1111")),TH!D3328,""),"")</f>
        <v/>
      </c>
      <c r="B3328" s="896">
        <f t="shared" si="174"/>
        <v>11</v>
      </c>
      <c r="C3328" s="897">
        <f t="shared" si="175"/>
        <v>42703</v>
      </c>
      <c r="D3328" s="897" t="s">
        <v>1580</v>
      </c>
      <c r="E3328" s="963">
        <v>42703</v>
      </c>
      <c r="F3328" s="870" t="s">
        <v>1505</v>
      </c>
      <c r="G3328" s="871" t="s">
        <v>1507</v>
      </c>
      <c r="H3328" s="965" t="s">
        <v>1328</v>
      </c>
      <c r="I3328" s="254">
        <v>4000</v>
      </c>
      <c r="J3328" s="254">
        <v>7086.635132945943</v>
      </c>
      <c r="K3328" s="51">
        <f t="shared" ref="K3328:K3368" si="176">ROUND(I3328*J3328,0)</f>
        <v>28346541</v>
      </c>
      <c r="L3328" s="966" t="s">
        <v>172</v>
      </c>
      <c r="M3328" s="966" t="s">
        <v>167</v>
      </c>
      <c r="N3328" s="52" t="str">
        <f>IF(AND('331-CT'!$E$7=TH!H3328,OR(L3328="331",M3328="331")),"331",IF(AND(OR(L3328="131",M3328="131"),H3328='131-CT'!$E$7),"131",""))</f>
        <v/>
      </c>
      <c r="O3328" s="857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65"/>
    </row>
    <row r="3329" spans="1:28" s="900" customFormat="1" ht="15.75" customHeight="1">
      <c r="A3329" s="895" t="str">
        <f>IF(B3329&lt;&gt;"",IF(AND(B3329&gt;=_TM1,B3329&lt;=_TM2,OR(TH!L3329="1111",TH!M3329="1111")),TH!D3329,""),"")</f>
        <v/>
      </c>
      <c r="B3329" s="896">
        <f t="shared" si="174"/>
        <v>12</v>
      </c>
      <c r="C3329" s="897">
        <f t="shared" si="175"/>
        <v>42705</v>
      </c>
      <c r="D3329" s="897" t="s">
        <v>1580</v>
      </c>
      <c r="E3329" s="963">
        <v>42705</v>
      </c>
      <c r="F3329" s="870" t="s">
        <v>1505</v>
      </c>
      <c r="G3329" s="871" t="s">
        <v>1508</v>
      </c>
      <c r="H3329" s="965" t="s">
        <v>1328</v>
      </c>
      <c r="I3329" s="254">
        <v>4000</v>
      </c>
      <c r="J3329" s="254">
        <v>7086.635132945943</v>
      </c>
      <c r="K3329" s="51">
        <f t="shared" si="176"/>
        <v>28346541</v>
      </c>
      <c r="L3329" s="966" t="s">
        <v>172</v>
      </c>
      <c r="M3329" s="966" t="s">
        <v>167</v>
      </c>
      <c r="N3329" s="52" t="str">
        <f>IF(AND('331-CT'!$E$7=TH!H3329,OR(L3329="331",M3329="331")),"331",IF(AND(OR(L3329="131",M3329="131"),H3329='131-CT'!$E$7),"131",""))</f>
        <v/>
      </c>
      <c r="O3329" s="857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65"/>
    </row>
    <row r="3330" spans="1:28" s="900" customFormat="1" ht="15.75" customHeight="1">
      <c r="A3330" s="895" t="str">
        <f>IF(B3330&lt;&gt;"",IF(AND(B3330&gt;=_TM1,B3330&lt;=_TM2,OR(TH!L3330="1111",TH!M3330="1111")),TH!D3330,""),"")</f>
        <v/>
      </c>
      <c r="B3330" s="896">
        <f t="shared" si="174"/>
        <v>12</v>
      </c>
      <c r="C3330" s="897">
        <f t="shared" si="175"/>
        <v>42709</v>
      </c>
      <c r="D3330" s="897" t="s">
        <v>1580</v>
      </c>
      <c r="E3330" s="963">
        <v>42709</v>
      </c>
      <c r="F3330" s="870" t="s">
        <v>1286</v>
      </c>
      <c r="G3330" s="871" t="s">
        <v>1510</v>
      </c>
      <c r="H3330" s="965" t="s">
        <v>1328</v>
      </c>
      <c r="I3330" s="254">
        <v>1870</v>
      </c>
      <c r="J3330" s="254">
        <v>6917.9057250186588</v>
      </c>
      <c r="K3330" s="51">
        <f t="shared" si="176"/>
        <v>12936484</v>
      </c>
      <c r="L3330" s="966" t="s">
        <v>172</v>
      </c>
      <c r="M3330" s="966" t="s">
        <v>167</v>
      </c>
      <c r="N3330" s="52" t="str">
        <f>IF(AND('331-CT'!$E$7=TH!H3330,OR(L3330="331",M3330="331")),"331",IF(AND(OR(L3330="131",M3330="131"),H3330='131-CT'!$E$7),"131",""))</f>
        <v/>
      </c>
      <c r="O3330" s="857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65"/>
    </row>
    <row r="3331" spans="1:28" s="900" customFormat="1" ht="15.75" customHeight="1">
      <c r="A3331" s="895" t="str">
        <f>IF(B3331&lt;&gt;"",IF(AND(B3331&gt;=_TM1,B3331&lt;=_TM2,OR(TH!L3331="1111",TH!M3331="1111")),TH!D3331,""),"")</f>
        <v/>
      </c>
      <c r="B3331" s="896">
        <f t="shared" si="174"/>
        <v>12</v>
      </c>
      <c r="C3331" s="897">
        <f t="shared" si="175"/>
        <v>42709</v>
      </c>
      <c r="D3331" s="897" t="s">
        <v>1580</v>
      </c>
      <c r="E3331" s="963">
        <v>42709</v>
      </c>
      <c r="F3331" s="964" t="s">
        <v>471</v>
      </c>
      <c r="G3331" s="871" t="s">
        <v>1510</v>
      </c>
      <c r="H3331" s="965" t="s">
        <v>1328</v>
      </c>
      <c r="I3331" s="254">
        <v>535</v>
      </c>
      <c r="J3331" s="254">
        <v>13329.623226255466</v>
      </c>
      <c r="K3331" s="51">
        <f t="shared" si="176"/>
        <v>7131348</v>
      </c>
      <c r="L3331" s="966" t="s">
        <v>172</v>
      </c>
      <c r="M3331" s="966" t="s">
        <v>167</v>
      </c>
      <c r="N3331" s="52" t="str">
        <f>IF(AND('331-CT'!$E$7=TH!H3331,OR(L3331="331",M3331="331")),"331",IF(AND(OR(L3331="131",M3331="131"),H3331='131-CT'!$E$7),"131",""))</f>
        <v/>
      </c>
      <c r="O3331" s="857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65"/>
    </row>
    <row r="3332" spans="1:28" s="900" customFormat="1" ht="15.75" customHeight="1">
      <c r="A3332" s="895" t="str">
        <f>IF(B3332&lt;&gt;"",IF(AND(B3332&gt;=_TM1,B3332&lt;=_TM2,OR(TH!L3332="1111",TH!M3332="1111")),TH!D3332,""),"")</f>
        <v/>
      </c>
      <c r="B3332" s="896">
        <f t="shared" si="174"/>
        <v>12</v>
      </c>
      <c r="C3332" s="897">
        <f t="shared" si="175"/>
        <v>42709</v>
      </c>
      <c r="D3332" s="897" t="s">
        <v>1580</v>
      </c>
      <c r="E3332" s="963">
        <v>42709</v>
      </c>
      <c r="F3332" s="964" t="s">
        <v>1287</v>
      </c>
      <c r="G3332" s="871" t="s">
        <v>1510</v>
      </c>
      <c r="H3332" s="965" t="s">
        <v>1328</v>
      </c>
      <c r="I3332" s="254">
        <v>520</v>
      </c>
      <c r="J3332" s="254">
        <v>7930.2821725823651</v>
      </c>
      <c r="K3332" s="51">
        <f t="shared" si="176"/>
        <v>4123747</v>
      </c>
      <c r="L3332" s="966" t="s">
        <v>172</v>
      </c>
      <c r="M3332" s="966" t="s">
        <v>167</v>
      </c>
      <c r="N3332" s="52" t="str">
        <f>IF(AND('331-CT'!$E$7=TH!H3332,OR(L3332="331",M3332="331")),"331",IF(AND(OR(L3332="131",M3332="131"),H3332='131-CT'!$E$7),"131",""))</f>
        <v/>
      </c>
      <c r="O3332" s="857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65"/>
    </row>
    <row r="3333" spans="1:28" s="900" customFormat="1" ht="15.75" customHeight="1">
      <c r="A3333" s="895" t="str">
        <f>IF(B3333&lt;&gt;"",IF(AND(B3333&gt;=_TM1,B3333&lt;=_TM2,OR(TH!L3333="1111",TH!M3333="1111")),TH!D3333,""),"")</f>
        <v/>
      </c>
      <c r="B3333" s="896">
        <f t="shared" si="174"/>
        <v>12</v>
      </c>
      <c r="C3333" s="897">
        <f t="shared" si="175"/>
        <v>42710</v>
      </c>
      <c r="D3333" s="897" t="s">
        <v>1580</v>
      </c>
      <c r="E3333" s="963">
        <v>42710</v>
      </c>
      <c r="F3333" s="870" t="s">
        <v>1512</v>
      </c>
      <c r="G3333" s="871" t="s">
        <v>1511</v>
      </c>
      <c r="H3333" s="965" t="s">
        <v>1328</v>
      </c>
      <c r="I3333" s="254">
        <v>52</v>
      </c>
      <c r="J3333" s="254">
        <v>9955.0350677097776</v>
      </c>
      <c r="K3333" s="51">
        <f t="shared" si="176"/>
        <v>517662</v>
      </c>
      <c r="L3333" s="966" t="s">
        <v>172</v>
      </c>
      <c r="M3333" s="966" t="s">
        <v>167</v>
      </c>
      <c r="N3333" s="52" t="str">
        <f>IF(AND('331-CT'!$E$7=TH!H3333,OR(L3333="331",M3333="331")),"331",IF(AND(OR(L3333="131",M3333="131"),H3333='131-CT'!$E$7),"131",""))</f>
        <v/>
      </c>
      <c r="O3333" s="857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65"/>
    </row>
    <row r="3334" spans="1:28" s="900" customFormat="1" ht="15.75" customHeight="1">
      <c r="A3334" s="895" t="str">
        <f>IF(B3334&lt;&gt;"",IF(AND(B3334&gt;=_TM1,B3334&lt;=_TM2,OR(TH!L3334="1111",TH!M3334="1111")),TH!D3334,""),"")</f>
        <v/>
      </c>
      <c r="B3334" s="896">
        <f t="shared" si="174"/>
        <v>12</v>
      </c>
      <c r="C3334" s="897">
        <f t="shared" si="175"/>
        <v>42710</v>
      </c>
      <c r="D3334" s="897" t="s">
        <v>1580</v>
      </c>
      <c r="E3334" s="963">
        <v>42710</v>
      </c>
      <c r="F3334" s="870" t="s">
        <v>1513</v>
      </c>
      <c r="G3334" s="871" t="s">
        <v>1511</v>
      </c>
      <c r="H3334" s="965" t="s">
        <v>1328</v>
      </c>
      <c r="I3334" s="254">
        <v>114</v>
      </c>
      <c r="J3334" s="254">
        <v>9280.1174360006407</v>
      </c>
      <c r="K3334" s="51">
        <f t="shared" si="176"/>
        <v>1057933</v>
      </c>
      <c r="L3334" s="966" t="s">
        <v>172</v>
      </c>
      <c r="M3334" s="966" t="s">
        <v>167</v>
      </c>
      <c r="N3334" s="52" t="str">
        <f>IF(AND('331-CT'!$E$7=TH!H3334,OR(L3334="331",M3334="331")),"331",IF(AND(OR(L3334="131",M3334="131"),H3334='131-CT'!$E$7),"131",""))</f>
        <v/>
      </c>
      <c r="O3334" s="857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65"/>
    </row>
    <row r="3335" spans="1:28" s="900" customFormat="1" ht="15.75" customHeight="1">
      <c r="A3335" s="895" t="str">
        <f>IF(B3335&lt;&gt;"",IF(AND(B3335&gt;=_TM1,B3335&lt;=_TM2,OR(TH!L3335="1111",TH!M3335="1111")),TH!D3335,""),"")</f>
        <v/>
      </c>
      <c r="B3335" s="896">
        <f t="shared" si="174"/>
        <v>12</v>
      </c>
      <c r="C3335" s="897">
        <f t="shared" si="175"/>
        <v>42710</v>
      </c>
      <c r="D3335" s="897" t="s">
        <v>1580</v>
      </c>
      <c r="E3335" s="963">
        <v>42710</v>
      </c>
      <c r="F3335" s="870" t="s">
        <v>1516</v>
      </c>
      <c r="G3335" s="871" t="s">
        <v>1514</v>
      </c>
      <c r="H3335" s="965" t="s">
        <v>1328</v>
      </c>
      <c r="I3335" s="254">
        <v>879</v>
      </c>
      <c r="J3335" s="254">
        <v>2952.7646387274763</v>
      </c>
      <c r="K3335" s="51">
        <f t="shared" si="176"/>
        <v>2595480</v>
      </c>
      <c r="L3335" s="966" t="s">
        <v>172</v>
      </c>
      <c r="M3335" s="966" t="s">
        <v>167</v>
      </c>
      <c r="N3335" s="52" t="str">
        <f>IF(AND('331-CT'!$E$7=TH!H3335,OR(L3335="331",M3335="331")),"331",IF(AND(OR(L3335="131",M3335="131"),H3335='131-CT'!$E$7),"131",""))</f>
        <v/>
      </c>
      <c r="O3335" s="857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65"/>
    </row>
    <row r="3336" spans="1:28" s="900" customFormat="1" ht="15.75" customHeight="1">
      <c r="A3336" s="895" t="str">
        <f>IF(B3336&lt;&gt;"",IF(AND(B3336&gt;=_TM1,B3336&lt;=_TM2,OR(TH!L3336="1111",TH!M3336="1111")),TH!D3336,""),"")</f>
        <v/>
      </c>
      <c r="B3336" s="896">
        <f t="shared" si="174"/>
        <v>12</v>
      </c>
      <c r="C3336" s="897">
        <f t="shared" si="175"/>
        <v>42710</v>
      </c>
      <c r="D3336" s="897" t="s">
        <v>1580</v>
      </c>
      <c r="E3336" s="963">
        <v>42710</v>
      </c>
      <c r="F3336" s="870" t="s">
        <v>1517</v>
      </c>
      <c r="G3336" s="871" t="s">
        <v>1514</v>
      </c>
      <c r="H3336" s="965" t="s">
        <v>1328</v>
      </c>
      <c r="I3336" s="254">
        <v>523</v>
      </c>
      <c r="J3336" s="254">
        <v>4133.8704942184668</v>
      </c>
      <c r="K3336" s="51">
        <f t="shared" si="176"/>
        <v>2162014</v>
      </c>
      <c r="L3336" s="966" t="s">
        <v>172</v>
      </c>
      <c r="M3336" s="966" t="s">
        <v>167</v>
      </c>
      <c r="N3336" s="52" t="str">
        <f>IF(AND('331-CT'!$E$7=TH!H3336,OR(L3336="331",M3336="331")),"331",IF(AND(OR(L3336="131",M3336="131"),H3336='131-CT'!$E$7),"131",""))</f>
        <v/>
      </c>
      <c r="O3336" s="857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65"/>
    </row>
    <row r="3337" spans="1:28" s="900" customFormat="1" ht="15.75" customHeight="1">
      <c r="A3337" s="895" t="str">
        <f>IF(B3337&lt;&gt;"",IF(AND(B3337&gt;=_TM1,B3337&lt;=_TM2,OR(TH!L3337="1111",TH!M3337="1111")),TH!D3337,""),"")</f>
        <v/>
      </c>
      <c r="B3337" s="896">
        <f t="shared" si="174"/>
        <v>12</v>
      </c>
      <c r="C3337" s="897">
        <f t="shared" si="175"/>
        <v>42710</v>
      </c>
      <c r="D3337" s="897" t="s">
        <v>1580</v>
      </c>
      <c r="E3337" s="963">
        <v>42710</v>
      </c>
      <c r="F3337" s="870" t="s">
        <v>1505</v>
      </c>
      <c r="G3337" s="871" t="s">
        <v>1518</v>
      </c>
      <c r="H3337" s="965" t="s">
        <v>1328</v>
      </c>
      <c r="I3337" s="254">
        <v>2400</v>
      </c>
      <c r="J3337" s="254">
        <v>7086.635132945943</v>
      </c>
      <c r="K3337" s="51">
        <f t="shared" si="176"/>
        <v>17007924</v>
      </c>
      <c r="L3337" s="966" t="s">
        <v>172</v>
      </c>
      <c r="M3337" s="966" t="s">
        <v>167</v>
      </c>
      <c r="N3337" s="52" t="str">
        <f>IF(AND('331-CT'!$E$7=TH!H3337,OR(L3337="331",M3337="331")),"331",IF(AND(OR(L3337="131",M3337="131"),H3337='131-CT'!$E$7),"131",""))</f>
        <v/>
      </c>
      <c r="O3337" s="857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65"/>
    </row>
    <row r="3338" spans="1:28" s="900" customFormat="1" ht="15.75" customHeight="1">
      <c r="A3338" s="895" t="str">
        <f>IF(B3338&lt;&gt;"",IF(AND(B3338&gt;=_TM1,B3338&lt;=_TM2,OR(TH!L3338="1111",TH!M3338="1111")),TH!D3338,""),"")</f>
        <v/>
      </c>
      <c r="B3338" s="896">
        <f t="shared" si="174"/>
        <v>12</v>
      </c>
      <c r="C3338" s="897">
        <f t="shared" si="175"/>
        <v>42711</v>
      </c>
      <c r="D3338" s="897" t="s">
        <v>1580</v>
      </c>
      <c r="E3338" s="963">
        <v>42711</v>
      </c>
      <c r="F3338" s="870" t="s">
        <v>1505</v>
      </c>
      <c r="G3338" s="871" t="s">
        <v>1519</v>
      </c>
      <c r="H3338" s="965" t="s">
        <v>1328</v>
      </c>
      <c r="I3338" s="254">
        <v>2400</v>
      </c>
      <c r="J3338" s="254">
        <v>7086.635132945943</v>
      </c>
      <c r="K3338" s="51">
        <f t="shared" si="176"/>
        <v>17007924</v>
      </c>
      <c r="L3338" s="966" t="s">
        <v>172</v>
      </c>
      <c r="M3338" s="966" t="s">
        <v>167</v>
      </c>
      <c r="N3338" s="52" t="str">
        <f>IF(AND('331-CT'!$E$7=TH!H3338,OR(L3338="331",M3338="331")),"331",IF(AND(OR(L3338="131",M3338="131"),H3338='131-CT'!$E$7),"131",""))</f>
        <v/>
      </c>
      <c r="O3338" s="857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65"/>
    </row>
    <row r="3339" spans="1:28" s="900" customFormat="1" ht="15.75" customHeight="1">
      <c r="A3339" s="895" t="str">
        <f>IF(B3339&lt;&gt;"",IF(AND(B3339&gt;=_TM1,B3339&lt;=_TM2,OR(TH!L3339="1111",TH!M3339="1111")),TH!D3339,""),"")</f>
        <v/>
      </c>
      <c r="B3339" s="896">
        <f t="shared" si="174"/>
        <v>12</v>
      </c>
      <c r="C3339" s="897">
        <f t="shared" si="175"/>
        <v>42713</v>
      </c>
      <c r="D3339" s="897" t="s">
        <v>1580</v>
      </c>
      <c r="E3339" s="963">
        <v>42713</v>
      </c>
      <c r="F3339" s="967" t="s">
        <v>1334</v>
      </c>
      <c r="G3339" s="871" t="s">
        <v>1520</v>
      </c>
      <c r="H3339" s="965" t="s">
        <v>1328</v>
      </c>
      <c r="I3339" s="972">
        <v>1510</v>
      </c>
      <c r="J3339" s="972">
        <v>6074.2586853822377</v>
      </c>
      <c r="K3339" s="51">
        <f t="shared" si="176"/>
        <v>9172131</v>
      </c>
      <c r="L3339" s="966" t="s">
        <v>172</v>
      </c>
      <c r="M3339" s="966" t="s">
        <v>167</v>
      </c>
      <c r="N3339" s="52" t="str">
        <f>IF(AND('331-CT'!$E$7=TH!H3339,OR(L3339="331",M3339="331")),"331",IF(AND(OR(L3339="131",M3339="131"),H3339='131-CT'!$E$7),"131",""))</f>
        <v/>
      </c>
      <c r="O3339" s="857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65"/>
    </row>
    <row r="3340" spans="1:28" s="900" customFormat="1" ht="15.75" customHeight="1">
      <c r="A3340" s="895" t="str">
        <f>IF(B3340&lt;&gt;"",IF(AND(B3340&gt;=_TM1,B3340&lt;=_TM2,OR(TH!L3340="1111",TH!M3340="1111")),TH!D3340,""),"")</f>
        <v/>
      </c>
      <c r="B3340" s="896">
        <f t="shared" si="174"/>
        <v>12</v>
      </c>
      <c r="C3340" s="897">
        <f t="shared" si="175"/>
        <v>42713</v>
      </c>
      <c r="D3340" s="897" t="s">
        <v>1580</v>
      </c>
      <c r="E3340" s="963">
        <v>42713</v>
      </c>
      <c r="F3340" s="967" t="s">
        <v>1346</v>
      </c>
      <c r="G3340" s="871" t="s">
        <v>1520</v>
      </c>
      <c r="H3340" s="965" t="s">
        <v>1328</v>
      </c>
      <c r="I3340" s="254">
        <v>1500</v>
      </c>
      <c r="J3340" s="254">
        <v>4724.4234219639629</v>
      </c>
      <c r="K3340" s="51">
        <f t="shared" si="176"/>
        <v>7086635</v>
      </c>
      <c r="L3340" s="966" t="s">
        <v>172</v>
      </c>
      <c r="M3340" s="966" t="s">
        <v>167</v>
      </c>
      <c r="N3340" s="52" t="str">
        <f>IF(AND('331-CT'!$E$7=TH!H3340,OR(L3340="331",M3340="331")),"331",IF(AND(OR(L3340="131",M3340="131"),H3340='131-CT'!$E$7),"131",""))</f>
        <v/>
      </c>
      <c r="O3340" s="857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65"/>
    </row>
    <row r="3341" spans="1:28" s="900" customFormat="1" ht="15.75" customHeight="1">
      <c r="A3341" s="895" t="str">
        <f>IF(B3341&lt;&gt;"",IF(AND(B3341&gt;=_TM1,B3341&lt;=_TM2,OR(TH!L3341="1111",TH!M3341="1111")),TH!D3341,""),"")</f>
        <v/>
      </c>
      <c r="B3341" s="896">
        <f t="shared" si="174"/>
        <v>12</v>
      </c>
      <c r="C3341" s="897">
        <f t="shared" si="175"/>
        <v>42713</v>
      </c>
      <c r="D3341" s="897" t="s">
        <v>1580</v>
      </c>
      <c r="E3341" s="963">
        <v>42713</v>
      </c>
      <c r="F3341" s="964" t="s">
        <v>1386</v>
      </c>
      <c r="G3341" s="871" t="s">
        <v>1521</v>
      </c>
      <c r="H3341" s="965" t="s">
        <v>1328</v>
      </c>
      <c r="I3341" s="254">
        <v>535</v>
      </c>
      <c r="J3341" s="254">
        <v>6327.3527972731645</v>
      </c>
      <c r="K3341" s="51">
        <f t="shared" si="176"/>
        <v>3385134</v>
      </c>
      <c r="L3341" s="966" t="s">
        <v>172</v>
      </c>
      <c r="M3341" s="966" t="s">
        <v>167</v>
      </c>
      <c r="N3341" s="52" t="str">
        <f>IF(AND('331-CT'!$E$7=TH!H3341,OR(L3341="331",M3341="331")),"331",IF(AND(OR(L3341="131",M3341="131"),H3341='131-CT'!$E$7),"131",""))</f>
        <v/>
      </c>
      <c r="O3341" s="857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65"/>
    </row>
    <row r="3342" spans="1:28" s="900" customFormat="1" ht="15.75" customHeight="1">
      <c r="A3342" s="895" t="str">
        <f>IF(B3342&lt;&gt;"",IF(AND(B3342&gt;=_TM1,B3342&lt;=_TM2,OR(TH!L3342="1111",TH!M3342="1111")),TH!D3342,""),"")</f>
        <v/>
      </c>
      <c r="B3342" s="896">
        <f t="shared" si="174"/>
        <v>12</v>
      </c>
      <c r="C3342" s="897">
        <f t="shared" si="175"/>
        <v>42713</v>
      </c>
      <c r="D3342" s="897" t="s">
        <v>1580</v>
      </c>
      <c r="E3342" s="963">
        <v>42713</v>
      </c>
      <c r="F3342" s="964" t="s">
        <v>985</v>
      </c>
      <c r="G3342" s="871" t="s">
        <v>1521</v>
      </c>
      <c r="H3342" s="965" t="s">
        <v>1328</v>
      </c>
      <c r="I3342" s="254">
        <v>46</v>
      </c>
      <c r="J3342" s="254">
        <v>5905.5292774549525</v>
      </c>
      <c r="K3342" s="51">
        <f t="shared" si="176"/>
        <v>271654</v>
      </c>
      <c r="L3342" s="966" t="s">
        <v>172</v>
      </c>
      <c r="M3342" s="966" t="s">
        <v>167</v>
      </c>
      <c r="N3342" s="52" t="str">
        <f>IF(AND('331-CT'!$E$7=TH!H3342,OR(L3342="331",M3342="331")),"331",IF(AND(OR(L3342="131",M3342="131"),H3342='131-CT'!$E$7),"131",""))</f>
        <v/>
      </c>
      <c r="O3342" s="857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65"/>
    </row>
    <row r="3343" spans="1:28" s="900" customFormat="1" ht="15.75" customHeight="1">
      <c r="A3343" s="895" t="str">
        <f>IF(B3343&lt;&gt;"",IF(AND(B3343&gt;=_TM1,B3343&lt;=_TM2,OR(TH!L3343="1111",TH!M3343="1111")),TH!D3343,""),"")</f>
        <v/>
      </c>
      <c r="B3343" s="896">
        <f t="shared" si="174"/>
        <v>12</v>
      </c>
      <c r="C3343" s="897">
        <f t="shared" si="175"/>
        <v>42716</v>
      </c>
      <c r="D3343" s="897" t="s">
        <v>1580</v>
      </c>
      <c r="E3343" s="963">
        <v>42716</v>
      </c>
      <c r="F3343" s="964" t="s">
        <v>1465</v>
      </c>
      <c r="G3343" s="871" t="s">
        <v>1522</v>
      </c>
      <c r="H3343" s="965" t="s">
        <v>1328</v>
      </c>
      <c r="I3343" s="254">
        <v>600</v>
      </c>
      <c r="J3343" s="254">
        <v>8605.1998042915038</v>
      </c>
      <c r="K3343" s="51">
        <f t="shared" si="176"/>
        <v>5163120</v>
      </c>
      <c r="L3343" s="966" t="s">
        <v>172</v>
      </c>
      <c r="M3343" s="966" t="s">
        <v>167</v>
      </c>
      <c r="N3343" s="52" t="str">
        <f>IF(AND('331-CT'!$E$7=TH!H3343,OR(L3343="331",M3343="331")),"331",IF(AND(OR(L3343="131",M3343="131"),H3343='131-CT'!$E$7),"131",""))</f>
        <v/>
      </c>
      <c r="O3343" s="857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65"/>
    </row>
    <row r="3344" spans="1:28" s="900" customFormat="1" ht="15.75" customHeight="1">
      <c r="A3344" s="895" t="str">
        <f>IF(B3344&lt;&gt;"",IF(AND(B3344&gt;=_TM1,B3344&lt;=_TM2,OR(TH!L3344="1111",TH!M3344="1111")),TH!D3344,""),"")</f>
        <v/>
      </c>
      <c r="B3344" s="896">
        <f t="shared" si="174"/>
        <v>12</v>
      </c>
      <c r="C3344" s="897">
        <f t="shared" si="175"/>
        <v>42716</v>
      </c>
      <c r="D3344" s="897" t="s">
        <v>1580</v>
      </c>
      <c r="E3344" s="963">
        <v>42716</v>
      </c>
      <c r="F3344" s="870" t="s">
        <v>1505</v>
      </c>
      <c r="G3344" s="871" t="s">
        <v>1523</v>
      </c>
      <c r="H3344" s="965" t="s">
        <v>1328</v>
      </c>
      <c r="I3344" s="254">
        <v>800</v>
      </c>
      <c r="J3344" s="254">
        <v>7086.635132945943</v>
      </c>
      <c r="K3344" s="51">
        <f t="shared" si="176"/>
        <v>5669308</v>
      </c>
      <c r="L3344" s="966" t="s">
        <v>172</v>
      </c>
      <c r="M3344" s="966" t="s">
        <v>167</v>
      </c>
      <c r="N3344" s="52" t="str">
        <f>IF(AND('331-CT'!$E$7=TH!H3344,OR(L3344="331",M3344="331")),"331",IF(AND(OR(L3344="131",M3344="131"),H3344='131-CT'!$E$7),"131",""))</f>
        <v/>
      </c>
      <c r="O3344" s="857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65"/>
    </row>
    <row r="3345" spans="1:28" s="900" customFormat="1" ht="15.75" customHeight="1">
      <c r="A3345" s="895" t="str">
        <f>IF(B3345&lt;&gt;"",IF(AND(B3345&gt;=_TM1,B3345&lt;=_TM2,OR(TH!L3345="1111",TH!M3345="1111")),TH!D3345,""),"")</f>
        <v/>
      </c>
      <c r="B3345" s="896">
        <f t="shared" si="174"/>
        <v>12</v>
      </c>
      <c r="C3345" s="897">
        <f t="shared" si="175"/>
        <v>42716</v>
      </c>
      <c r="D3345" s="897" t="s">
        <v>1580</v>
      </c>
      <c r="E3345" s="963">
        <v>42716</v>
      </c>
      <c r="F3345" s="870" t="s">
        <v>1505</v>
      </c>
      <c r="G3345" s="871" t="s">
        <v>1524</v>
      </c>
      <c r="H3345" s="965" t="s">
        <v>1328</v>
      </c>
      <c r="I3345" s="254">
        <v>2400</v>
      </c>
      <c r="J3345" s="254">
        <v>7086.635132945943</v>
      </c>
      <c r="K3345" s="51">
        <f t="shared" si="176"/>
        <v>17007924</v>
      </c>
      <c r="L3345" s="966" t="s">
        <v>172</v>
      </c>
      <c r="M3345" s="966" t="s">
        <v>167</v>
      </c>
      <c r="N3345" s="52" t="str">
        <f>IF(AND('331-CT'!$E$7=TH!H3345,OR(L3345="331",M3345="331")),"331",IF(AND(OR(L3345="131",M3345="131"),H3345='131-CT'!$E$7),"131",""))</f>
        <v/>
      </c>
      <c r="O3345" s="857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65"/>
    </row>
    <row r="3346" spans="1:28" s="900" customFormat="1" ht="15.75" customHeight="1">
      <c r="A3346" s="895" t="str">
        <f>IF(B3346&lt;&gt;"",IF(AND(B3346&gt;=_TM1,B3346&lt;=_TM2,OR(TH!L3346="1111",TH!M3346="1111")),TH!D3346,""),"")</f>
        <v/>
      </c>
      <c r="B3346" s="896">
        <f t="shared" si="174"/>
        <v>12</v>
      </c>
      <c r="C3346" s="897">
        <f t="shared" si="175"/>
        <v>42717</v>
      </c>
      <c r="D3346" s="897" t="s">
        <v>1580</v>
      </c>
      <c r="E3346" s="869">
        <v>42717</v>
      </c>
      <c r="F3346" s="964" t="s">
        <v>1505</v>
      </c>
      <c r="G3346" s="871" t="s">
        <v>1525</v>
      </c>
      <c r="H3346" s="965" t="s">
        <v>1328</v>
      </c>
      <c r="I3346" s="254">
        <v>2400</v>
      </c>
      <c r="J3346" s="254">
        <v>7086.635132945943</v>
      </c>
      <c r="K3346" s="51">
        <f t="shared" si="176"/>
        <v>17007924</v>
      </c>
      <c r="L3346" s="966" t="s">
        <v>172</v>
      </c>
      <c r="M3346" s="966" t="s">
        <v>167</v>
      </c>
      <c r="N3346" s="52" t="str">
        <f>IF(AND('331-CT'!$E$7=TH!H3346,OR(L3346="331",M3346="331")),"331",IF(AND(OR(L3346="131",M3346="131"),H3346='131-CT'!$E$7),"131",""))</f>
        <v/>
      </c>
      <c r="O3346" s="857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65"/>
    </row>
    <row r="3347" spans="1:28" s="900" customFormat="1" ht="15.75" customHeight="1">
      <c r="A3347" s="895" t="str">
        <f>IF(B3347&lt;&gt;"",IF(AND(B3347&gt;=_TM1,B3347&lt;=_TM2,OR(TH!L3347="1111",TH!M3347="1111")),TH!D3347,""),"")</f>
        <v/>
      </c>
      <c r="B3347" s="896">
        <f t="shared" si="174"/>
        <v>12</v>
      </c>
      <c r="C3347" s="897">
        <f t="shared" si="175"/>
        <v>42718</v>
      </c>
      <c r="D3347" s="897" t="s">
        <v>1580</v>
      </c>
      <c r="E3347" s="869">
        <v>42718</v>
      </c>
      <c r="F3347" s="964" t="s">
        <v>1505</v>
      </c>
      <c r="G3347" s="871" t="s">
        <v>1526</v>
      </c>
      <c r="H3347" s="965" t="s">
        <v>1328</v>
      </c>
      <c r="I3347" s="254">
        <v>2400</v>
      </c>
      <c r="J3347" s="254">
        <v>7086.635132945943</v>
      </c>
      <c r="K3347" s="51">
        <f t="shared" si="176"/>
        <v>17007924</v>
      </c>
      <c r="L3347" s="966" t="s">
        <v>172</v>
      </c>
      <c r="M3347" s="966" t="s">
        <v>167</v>
      </c>
      <c r="N3347" s="52" t="str">
        <f>IF(AND('331-CT'!$E$7=TH!H3347,OR(L3347="331",M3347="331")),"331",IF(AND(OR(L3347="131",M3347="131"),H3347='131-CT'!$E$7),"131",""))</f>
        <v/>
      </c>
      <c r="O3347" s="857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65"/>
    </row>
    <row r="3348" spans="1:28" s="900" customFormat="1" ht="15.75" customHeight="1">
      <c r="A3348" s="895" t="str">
        <f>IF(B3348&lt;&gt;"",IF(AND(B3348&gt;=_TM1,B3348&lt;=_TM2,OR(TH!L3348="1111",TH!M3348="1111")),TH!D3348,""),"")</f>
        <v/>
      </c>
      <c r="B3348" s="896">
        <f t="shared" si="174"/>
        <v>12</v>
      </c>
      <c r="C3348" s="897">
        <f t="shared" si="175"/>
        <v>42719</v>
      </c>
      <c r="D3348" s="897" t="s">
        <v>1580</v>
      </c>
      <c r="E3348" s="869">
        <v>42719</v>
      </c>
      <c r="F3348" s="964" t="s">
        <v>1505</v>
      </c>
      <c r="G3348" s="871" t="s">
        <v>1527</v>
      </c>
      <c r="H3348" s="965" t="s">
        <v>1328</v>
      </c>
      <c r="I3348" s="254">
        <v>2400</v>
      </c>
      <c r="J3348" s="254">
        <v>7086.635132945943</v>
      </c>
      <c r="K3348" s="51">
        <f t="shared" si="176"/>
        <v>17007924</v>
      </c>
      <c r="L3348" s="966" t="s">
        <v>172</v>
      </c>
      <c r="M3348" s="966" t="s">
        <v>167</v>
      </c>
      <c r="N3348" s="52" t="str">
        <f>IF(AND('331-CT'!$E$7=TH!H3348,OR(L3348="331",M3348="331")),"331",IF(AND(OR(L3348="131",M3348="131"),H3348='131-CT'!$E$7),"131",""))</f>
        <v/>
      </c>
      <c r="O3348" s="857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65"/>
    </row>
    <row r="3349" spans="1:28" s="900" customFormat="1" ht="15.75" customHeight="1">
      <c r="A3349" s="895" t="str">
        <f>IF(B3349&lt;&gt;"",IF(AND(B3349&gt;=_TM1,B3349&lt;=_TM2,OR(TH!L3349="1111",TH!M3349="1111")),TH!D3349,""),"")</f>
        <v/>
      </c>
      <c r="B3349" s="896">
        <f t="shared" si="174"/>
        <v>12</v>
      </c>
      <c r="C3349" s="897">
        <f t="shared" si="175"/>
        <v>42720</v>
      </c>
      <c r="D3349" s="897" t="s">
        <v>1580</v>
      </c>
      <c r="E3349" s="963">
        <v>42720</v>
      </c>
      <c r="F3349" s="967" t="s">
        <v>1505</v>
      </c>
      <c r="G3349" s="871" t="s">
        <v>1528</v>
      </c>
      <c r="H3349" s="965" t="s">
        <v>1328</v>
      </c>
      <c r="I3349" s="254">
        <v>2400</v>
      </c>
      <c r="J3349" s="254">
        <v>7086.635132945943</v>
      </c>
      <c r="K3349" s="51">
        <f t="shared" si="176"/>
        <v>17007924</v>
      </c>
      <c r="L3349" s="966" t="s">
        <v>172</v>
      </c>
      <c r="M3349" s="966" t="s">
        <v>167</v>
      </c>
      <c r="N3349" s="52" t="str">
        <f>IF(AND('331-CT'!$E$7=TH!H3349,OR(L3349="331",M3349="331")),"331",IF(AND(OR(L3349="131",M3349="131"),H3349='131-CT'!$E$7),"131",""))</f>
        <v/>
      </c>
      <c r="O3349" s="857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65"/>
    </row>
    <row r="3350" spans="1:28" s="900" customFormat="1" ht="15.75" customHeight="1">
      <c r="A3350" s="895" t="str">
        <f>IF(B3350&lt;&gt;"",IF(AND(B3350&gt;=_TM1,B3350&lt;=_TM2,OR(TH!L3350="1111",TH!M3350="1111")),TH!D3350,""),"")</f>
        <v/>
      </c>
      <c r="B3350" s="896">
        <f t="shared" si="174"/>
        <v>12</v>
      </c>
      <c r="C3350" s="897">
        <f t="shared" si="175"/>
        <v>42721</v>
      </c>
      <c r="D3350" s="897" t="s">
        <v>1580</v>
      </c>
      <c r="E3350" s="963">
        <v>42721</v>
      </c>
      <c r="F3350" s="967" t="s">
        <v>1505</v>
      </c>
      <c r="G3350" s="871" t="s">
        <v>1529</v>
      </c>
      <c r="H3350" s="965" t="s">
        <v>1328</v>
      </c>
      <c r="I3350" s="254">
        <v>180</v>
      </c>
      <c r="J3350" s="254">
        <v>7086.635132945943</v>
      </c>
      <c r="K3350" s="51">
        <f t="shared" si="176"/>
        <v>1275594</v>
      </c>
      <c r="L3350" s="966" t="s">
        <v>172</v>
      </c>
      <c r="M3350" s="966" t="s">
        <v>167</v>
      </c>
      <c r="N3350" s="52" t="str">
        <f>IF(AND('331-CT'!$E$7=TH!H3350,OR(L3350="331",M3350="331")),"331",IF(AND(OR(L3350="131",M3350="131"),H3350='131-CT'!$E$7),"131",""))</f>
        <v/>
      </c>
      <c r="O3350" s="857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65"/>
    </row>
    <row r="3351" spans="1:28" s="900" customFormat="1" ht="15.75" customHeight="1">
      <c r="A3351" s="895" t="str">
        <f>IF(B3351&lt;&gt;"",IF(AND(B3351&gt;=_TM1,B3351&lt;=_TM2,OR(TH!L3351="1111",TH!M3351="1111")),TH!D3351,""),"")</f>
        <v/>
      </c>
      <c r="B3351" s="896">
        <f t="shared" si="174"/>
        <v>12</v>
      </c>
      <c r="C3351" s="897">
        <f t="shared" si="175"/>
        <v>42724</v>
      </c>
      <c r="D3351" s="897" t="s">
        <v>1580</v>
      </c>
      <c r="E3351" s="869">
        <v>42724</v>
      </c>
      <c r="F3351" s="870" t="s">
        <v>1531</v>
      </c>
      <c r="G3351" s="871" t="s">
        <v>1530</v>
      </c>
      <c r="H3351" s="965" t="s">
        <v>1328</v>
      </c>
      <c r="I3351" s="254">
        <v>397</v>
      </c>
      <c r="J3351" s="254">
        <v>8183.3762844732919</v>
      </c>
      <c r="K3351" s="51">
        <f t="shared" si="176"/>
        <v>3248800</v>
      </c>
      <c r="L3351" s="966" t="s">
        <v>172</v>
      </c>
      <c r="M3351" s="966" t="s">
        <v>167</v>
      </c>
      <c r="N3351" s="52" t="str">
        <f>IF(AND('331-CT'!$E$7=TH!H3351,OR(L3351="331",M3351="331")),"331",IF(AND(OR(L3351="131",M3351="131"),H3351='131-CT'!$E$7),"131",""))</f>
        <v/>
      </c>
      <c r="O3351" s="857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65"/>
    </row>
    <row r="3352" spans="1:28" s="900" customFormat="1" ht="15.75" customHeight="1">
      <c r="A3352" s="895" t="str">
        <f>IF(B3352&lt;&gt;"",IF(AND(B3352&gt;=_TM1,B3352&lt;=_TM2,OR(TH!L3352="1111",TH!M3352="1111")),TH!D3352,""),"")</f>
        <v/>
      </c>
      <c r="B3352" s="896">
        <f t="shared" si="174"/>
        <v>12</v>
      </c>
      <c r="C3352" s="897">
        <f t="shared" si="175"/>
        <v>42724</v>
      </c>
      <c r="D3352" s="897" t="s">
        <v>1580</v>
      </c>
      <c r="E3352" s="869">
        <v>42724</v>
      </c>
      <c r="F3352" s="870" t="s">
        <v>430</v>
      </c>
      <c r="G3352" s="871" t="s">
        <v>1530</v>
      </c>
      <c r="H3352" s="965" t="s">
        <v>1328</v>
      </c>
      <c r="I3352" s="254">
        <v>200</v>
      </c>
      <c r="J3352" s="254">
        <v>8014.6468765460077</v>
      </c>
      <c r="K3352" s="51">
        <f t="shared" si="176"/>
        <v>1602929</v>
      </c>
      <c r="L3352" s="966" t="s">
        <v>172</v>
      </c>
      <c r="M3352" s="966" t="s">
        <v>167</v>
      </c>
      <c r="N3352" s="52" t="str">
        <f>IF(AND('331-CT'!$E$7=TH!H3352,OR(L3352="331",M3352="331")),"331",IF(AND(OR(L3352="131",M3352="131"),H3352='131-CT'!$E$7),"131",""))</f>
        <v/>
      </c>
      <c r="O3352" s="857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65"/>
    </row>
    <row r="3353" spans="1:28" s="900" customFormat="1" ht="15.75" customHeight="1">
      <c r="A3353" s="895" t="str">
        <f>IF(B3353&lt;&gt;"",IF(AND(B3353&gt;=_TM1,B3353&lt;=_TM2,OR(TH!L3353="1111",TH!M3353="1111")),TH!D3353,""),"")</f>
        <v/>
      </c>
      <c r="B3353" s="896">
        <f t="shared" si="174"/>
        <v>12</v>
      </c>
      <c r="C3353" s="897">
        <f t="shared" si="175"/>
        <v>42724</v>
      </c>
      <c r="D3353" s="897" t="s">
        <v>1580</v>
      </c>
      <c r="E3353" s="869">
        <v>42724</v>
      </c>
      <c r="F3353" s="964" t="s">
        <v>430</v>
      </c>
      <c r="G3353" s="871" t="s">
        <v>1530</v>
      </c>
      <c r="H3353" s="965" t="s">
        <v>1328</v>
      </c>
      <c r="I3353" s="254">
        <v>389</v>
      </c>
      <c r="J3353" s="254">
        <v>8014.6468765460077</v>
      </c>
      <c r="K3353" s="51">
        <f t="shared" si="176"/>
        <v>3117698</v>
      </c>
      <c r="L3353" s="966" t="s">
        <v>172</v>
      </c>
      <c r="M3353" s="966" t="s">
        <v>167</v>
      </c>
      <c r="N3353" s="52" t="str">
        <f>IF(AND('331-CT'!$E$7=TH!H3353,OR(L3353="331",M3353="331")),"331",IF(AND(OR(L3353="131",M3353="131"),H3353='131-CT'!$E$7),"131",""))</f>
        <v/>
      </c>
      <c r="O3353" s="857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65"/>
    </row>
    <row r="3354" spans="1:28" s="900" customFormat="1" ht="15.75" customHeight="1">
      <c r="A3354" s="895" t="str">
        <f>IF(B3354&lt;&gt;"",IF(AND(B3354&gt;=_TM1,B3354&lt;=_TM2,OR(TH!L3354="1111",TH!M3354="1111")),TH!D3354,""),"")</f>
        <v/>
      </c>
      <c r="B3354" s="896">
        <f t="shared" si="174"/>
        <v>12</v>
      </c>
      <c r="C3354" s="897">
        <f t="shared" si="175"/>
        <v>42724</v>
      </c>
      <c r="D3354" s="897" t="s">
        <v>1580</v>
      </c>
      <c r="E3354" s="869">
        <v>42724</v>
      </c>
      <c r="F3354" s="967" t="s">
        <v>985</v>
      </c>
      <c r="G3354" s="871" t="s">
        <v>1530</v>
      </c>
      <c r="H3354" s="965" t="s">
        <v>1328</v>
      </c>
      <c r="I3354" s="254">
        <v>566</v>
      </c>
      <c r="J3354" s="254">
        <v>5905.5292774549525</v>
      </c>
      <c r="K3354" s="51">
        <f t="shared" si="176"/>
        <v>3342530</v>
      </c>
      <c r="L3354" s="966" t="s">
        <v>172</v>
      </c>
      <c r="M3354" s="966" t="s">
        <v>167</v>
      </c>
      <c r="N3354" s="52" t="str">
        <f>IF(AND('331-CT'!$E$7=TH!H3354,OR(L3354="331",M3354="331")),"331",IF(AND(OR(L3354="131",M3354="131"),H3354='131-CT'!$E$7),"131",""))</f>
        <v/>
      </c>
      <c r="O3354" s="857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65"/>
    </row>
    <row r="3355" spans="1:28" s="900" customFormat="1" ht="15.75" customHeight="1">
      <c r="A3355" s="895" t="str">
        <f>IF(B3355&lt;&gt;"",IF(AND(B3355&gt;=_TM1,B3355&lt;=_TM2,OR(TH!L3355="1111",TH!M3355="1111")),TH!D3355,""),"")</f>
        <v/>
      </c>
      <c r="B3355" s="896">
        <f t="shared" si="174"/>
        <v>12</v>
      </c>
      <c r="C3355" s="897">
        <f t="shared" si="175"/>
        <v>42724</v>
      </c>
      <c r="D3355" s="897" t="s">
        <v>1580</v>
      </c>
      <c r="E3355" s="869">
        <v>42724</v>
      </c>
      <c r="F3355" s="967" t="s">
        <v>1505</v>
      </c>
      <c r="G3355" s="871" t="s">
        <v>1532</v>
      </c>
      <c r="H3355" s="965" t="s">
        <v>1328</v>
      </c>
      <c r="I3355" s="254">
        <v>2400</v>
      </c>
      <c r="J3355" s="254">
        <v>7086.635132945943</v>
      </c>
      <c r="K3355" s="51">
        <f t="shared" si="176"/>
        <v>17007924</v>
      </c>
      <c r="L3355" s="966" t="s">
        <v>172</v>
      </c>
      <c r="M3355" s="966" t="s">
        <v>167</v>
      </c>
      <c r="N3355" s="52" t="str">
        <f>IF(AND('331-CT'!$E$7=TH!H3355,OR(L3355="331",M3355="331")),"331",IF(AND(OR(L3355="131",M3355="131"),H3355='131-CT'!$E$7),"131",""))</f>
        <v/>
      </c>
      <c r="O3355" s="857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65"/>
    </row>
    <row r="3356" spans="1:28" s="900" customFormat="1" ht="15.75" customHeight="1">
      <c r="A3356" s="895" t="str">
        <f>IF(B3356&lt;&gt;"",IF(AND(B3356&gt;=_TM1,B3356&lt;=_TM2,OR(TH!L3356="1111",TH!M3356="1111")),TH!D3356,""),"")</f>
        <v/>
      </c>
      <c r="B3356" s="896">
        <f t="shared" si="174"/>
        <v>12</v>
      </c>
      <c r="C3356" s="897">
        <f t="shared" si="175"/>
        <v>42725</v>
      </c>
      <c r="D3356" s="897" t="s">
        <v>1580</v>
      </c>
      <c r="E3356" s="869">
        <v>42725</v>
      </c>
      <c r="F3356" s="967" t="s">
        <v>1505</v>
      </c>
      <c r="G3356" s="871" t="s">
        <v>1533</v>
      </c>
      <c r="H3356" s="965" t="s">
        <v>1328</v>
      </c>
      <c r="I3356" s="254">
        <v>2400</v>
      </c>
      <c r="J3356" s="254">
        <v>7086.635132945943</v>
      </c>
      <c r="K3356" s="51">
        <f t="shared" si="176"/>
        <v>17007924</v>
      </c>
      <c r="L3356" s="966" t="s">
        <v>172</v>
      </c>
      <c r="M3356" s="966" t="s">
        <v>167</v>
      </c>
      <c r="N3356" s="52" t="str">
        <f>IF(AND('331-CT'!$E$7=TH!H3356,OR(L3356="331",M3356="331")),"331",IF(AND(OR(L3356="131",M3356="131"),H3356='131-CT'!$E$7),"131",""))</f>
        <v/>
      </c>
      <c r="O3356" s="857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65"/>
    </row>
    <row r="3357" spans="1:28" s="900" customFormat="1" ht="15.75" customHeight="1">
      <c r="A3357" s="895" t="str">
        <f>IF(B3357&lt;&gt;"",IF(AND(B3357&gt;=_TM1,B3357&lt;=_TM2,OR(TH!L3357="1111",TH!M3357="1111")),TH!D3357,""),"")</f>
        <v/>
      </c>
      <c r="B3357" s="896">
        <f t="shared" si="174"/>
        <v>12</v>
      </c>
      <c r="C3357" s="897">
        <f t="shared" si="175"/>
        <v>42725</v>
      </c>
      <c r="D3357" s="897" t="s">
        <v>1580</v>
      </c>
      <c r="E3357" s="869">
        <v>42725</v>
      </c>
      <c r="F3357" s="964" t="s">
        <v>1536</v>
      </c>
      <c r="G3357" s="871" t="s">
        <v>1534</v>
      </c>
      <c r="H3357" s="965" t="s">
        <v>1328</v>
      </c>
      <c r="I3357" s="254">
        <v>66</v>
      </c>
      <c r="J3357" s="254">
        <v>17294.764312546646</v>
      </c>
      <c r="K3357" s="51">
        <f t="shared" si="176"/>
        <v>1141454</v>
      </c>
      <c r="L3357" s="966" t="s">
        <v>172</v>
      </c>
      <c r="M3357" s="966" t="s">
        <v>167</v>
      </c>
      <c r="N3357" s="52" t="str">
        <f>IF(AND('331-CT'!$E$7=TH!H3357,OR(L3357="331",M3357="331")),"331",IF(AND(OR(L3357="131",M3357="131"),H3357='131-CT'!$E$7),"131",""))</f>
        <v/>
      </c>
      <c r="O3357" s="857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65"/>
    </row>
    <row r="3358" spans="1:28" s="900" customFormat="1" ht="15.75" customHeight="1">
      <c r="A3358" s="895" t="str">
        <f>IF(B3358&lt;&gt;"",IF(AND(B3358&gt;=_TM1,B3358&lt;=_TM2,OR(TH!L3358="1111",TH!M3358="1111")),TH!D3358,""),"")</f>
        <v/>
      </c>
      <c r="B3358" s="896">
        <f t="shared" si="174"/>
        <v>12</v>
      </c>
      <c r="C3358" s="897">
        <f t="shared" si="175"/>
        <v>42725</v>
      </c>
      <c r="D3358" s="897" t="s">
        <v>1580</v>
      </c>
      <c r="E3358" s="869">
        <v>42725</v>
      </c>
      <c r="F3358" s="964" t="s">
        <v>1535</v>
      </c>
      <c r="G3358" s="871" t="s">
        <v>1534</v>
      </c>
      <c r="H3358" s="965" t="s">
        <v>1328</v>
      </c>
      <c r="I3358" s="254">
        <v>64</v>
      </c>
      <c r="J3358" s="254">
        <v>9195.7527320369991</v>
      </c>
      <c r="K3358" s="51">
        <f t="shared" si="176"/>
        <v>588528</v>
      </c>
      <c r="L3358" s="966" t="s">
        <v>172</v>
      </c>
      <c r="M3358" s="966" t="s">
        <v>167</v>
      </c>
      <c r="N3358" s="52" t="str">
        <f>IF(AND('331-CT'!$E$7=TH!H3358,OR(L3358="331",M3358="331")),"331",IF(AND(OR(L3358="131",M3358="131"),H3358='131-CT'!$E$7),"131",""))</f>
        <v/>
      </c>
      <c r="O3358" s="857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65"/>
    </row>
    <row r="3359" spans="1:28" s="900" customFormat="1" ht="15.75" customHeight="1">
      <c r="A3359" s="895" t="str">
        <f>IF(B3359&lt;&gt;"",IF(AND(B3359&gt;=_TM1,B3359&lt;=_TM2,OR(TH!L3359="1111",TH!M3359="1111")),TH!D3359,""),"")</f>
        <v/>
      </c>
      <c r="B3359" s="896">
        <f t="shared" si="174"/>
        <v>12</v>
      </c>
      <c r="C3359" s="897">
        <f t="shared" si="175"/>
        <v>42726</v>
      </c>
      <c r="D3359" s="897" t="s">
        <v>1580</v>
      </c>
      <c r="E3359" s="869">
        <v>42726</v>
      </c>
      <c r="F3359" s="964" t="s">
        <v>1505</v>
      </c>
      <c r="G3359" s="871" t="s">
        <v>1537</v>
      </c>
      <c r="H3359" s="965" t="s">
        <v>1328</v>
      </c>
      <c r="I3359" s="254">
        <v>1939</v>
      </c>
      <c r="J3359" s="254">
        <v>7086.635132945943</v>
      </c>
      <c r="K3359" s="51">
        <f t="shared" si="176"/>
        <v>13740986</v>
      </c>
      <c r="L3359" s="966" t="s">
        <v>172</v>
      </c>
      <c r="M3359" s="966" t="s">
        <v>167</v>
      </c>
      <c r="N3359" s="52" t="str">
        <f>IF(AND('331-CT'!$E$7=TH!H3359,OR(L3359="331",M3359="331")),"331",IF(AND(OR(L3359="131",M3359="131"),H3359='131-CT'!$E$7),"131",""))</f>
        <v/>
      </c>
      <c r="O3359" s="857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65"/>
    </row>
    <row r="3360" spans="1:28" s="900" customFormat="1" ht="15.75" customHeight="1">
      <c r="A3360" s="895" t="str">
        <f>IF(B3360&lt;&gt;"",IF(AND(B3360&gt;=_TM1,B3360&lt;=_TM2,OR(TH!L3360="1111",TH!M3360="1111")),TH!D3360,""),"")</f>
        <v/>
      </c>
      <c r="B3360" s="896">
        <f t="shared" si="174"/>
        <v>12</v>
      </c>
      <c r="C3360" s="897">
        <f t="shared" si="175"/>
        <v>42726</v>
      </c>
      <c r="D3360" s="897" t="s">
        <v>1580</v>
      </c>
      <c r="E3360" s="869">
        <v>42726</v>
      </c>
      <c r="F3360" s="964" t="s">
        <v>1440</v>
      </c>
      <c r="G3360" s="871" t="s">
        <v>1538</v>
      </c>
      <c r="H3360" s="965" t="s">
        <v>1328</v>
      </c>
      <c r="I3360" s="254">
        <v>208</v>
      </c>
      <c r="J3360" s="254">
        <v>8689.5645082551455</v>
      </c>
      <c r="K3360" s="51">
        <f t="shared" si="176"/>
        <v>1807429</v>
      </c>
      <c r="L3360" s="966" t="s">
        <v>172</v>
      </c>
      <c r="M3360" s="966" t="s">
        <v>167</v>
      </c>
      <c r="N3360" s="52" t="str">
        <f>IF(AND('331-CT'!$E$7=TH!H3360,OR(L3360="331",M3360="331")),"331",IF(AND(OR(L3360="131",M3360="131"),H3360='131-CT'!$E$7),"131",""))</f>
        <v/>
      </c>
      <c r="O3360" s="857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65"/>
    </row>
    <row r="3361" spans="1:28" s="900" customFormat="1" ht="15.75" customHeight="1">
      <c r="A3361" s="895" t="str">
        <f>IF(B3361&lt;&gt;"",IF(AND(B3361&gt;=_TM1,B3361&lt;=_TM2,OR(TH!L3361="1111",TH!M3361="1111")),TH!D3361,""),"")</f>
        <v/>
      </c>
      <c r="B3361" s="896">
        <f t="shared" si="174"/>
        <v>12</v>
      </c>
      <c r="C3361" s="897">
        <f t="shared" si="175"/>
        <v>42726</v>
      </c>
      <c r="D3361" s="897" t="s">
        <v>1580</v>
      </c>
      <c r="E3361" s="869">
        <v>42726</v>
      </c>
      <c r="F3361" s="964" t="s">
        <v>1437</v>
      </c>
      <c r="G3361" s="871" t="s">
        <v>1538</v>
      </c>
      <c r="H3361" s="965" t="s">
        <v>1328</v>
      </c>
      <c r="I3361" s="254">
        <v>205</v>
      </c>
      <c r="J3361" s="254">
        <v>7845.9174686187234</v>
      </c>
      <c r="K3361" s="51">
        <f t="shared" si="176"/>
        <v>1608413</v>
      </c>
      <c r="L3361" s="966" t="s">
        <v>172</v>
      </c>
      <c r="M3361" s="966" t="s">
        <v>167</v>
      </c>
      <c r="N3361" s="52" t="str">
        <f>IF(AND('331-CT'!$E$7=TH!H3361,OR(L3361="331",M3361="331")),"331",IF(AND(OR(L3361="131",M3361="131"),H3361='131-CT'!$E$7),"131",""))</f>
        <v/>
      </c>
      <c r="O3361" s="857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65"/>
    </row>
    <row r="3362" spans="1:28" s="900" customFormat="1" ht="15.75" customHeight="1">
      <c r="A3362" s="895" t="str">
        <f>IF(B3362&lt;&gt;"",IF(AND(B3362&gt;=_TM1,B3362&lt;=_TM2,OR(TH!L3362="1111",TH!M3362="1111")),TH!D3362,""),"")</f>
        <v/>
      </c>
      <c r="B3362" s="896">
        <f t="shared" si="174"/>
        <v>12</v>
      </c>
      <c r="C3362" s="897">
        <f t="shared" si="175"/>
        <v>42726</v>
      </c>
      <c r="D3362" s="897" t="s">
        <v>1580</v>
      </c>
      <c r="E3362" s="869">
        <v>42726</v>
      </c>
      <c r="F3362" s="964" t="s">
        <v>1539</v>
      </c>
      <c r="G3362" s="871" t="s">
        <v>1538</v>
      </c>
      <c r="H3362" s="965" t="s">
        <v>1328</v>
      </c>
      <c r="I3362" s="254">
        <v>25</v>
      </c>
      <c r="J3362" s="254">
        <v>11389.235035091697</v>
      </c>
      <c r="K3362" s="51">
        <f t="shared" si="176"/>
        <v>284731</v>
      </c>
      <c r="L3362" s="966" t="s">
        <v>172</v>
      </c>
      <c r="M3362" s="966" t="s">
        <v>167</v>
      </c>
      <c r="N3362" s="52" t="str">
        <f>IF(AND('331-CT'!$E$7=TH!H3362,OR(L3362="331",M3362="331")),"331",IF(AND(OR(L3362="131",M3362="131"),H3362='131-CT'!$E$7),"131",""))</f>
        <v/>
      </c>
      <c r="O3362" s="857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/>
      </c>
      <c r="AB3362" s="765"/>
    </row>
    <row r="3363" spans="1:28" s="900" customFormat="1" ht="15.75" customHeight="1">
      <c r="A3363" s="895" t="str">
        <f>IF(B3363&lt;&gt;"",IF(AND(B3363&gt;=_TM1,B3363&lt;=_TM2,OR(TH!L3363="1111",TH!M3363="1111")),TH!D3363,""),"")</f>
        <v/>
      </c>
      <c r="B3363" s="896">
        <f t="shared" si="174"/>
        <v>12</v>
      </c>
      <c r="C3363" s="897">
        <f t="shared" si="175"/>
        <v>42728</v>
      </c>
      <c r="D3363" s="897" t="s">
        <v>1580</v>
      </c>
      <c r="E3363" s="869">
        <v>42728</v>
      </c>
      <c r="F3363" s="964" t="s">
        <v>1505</v>
      </c>
      <c r="G3363" s="871" t="s">
        <v>1540</v>
      </c>
      <c r="H3363" s="965" t="s">
        <v>1328</v>
      </c>
      <c r="I3363" s="254">
        <v>2400</v>
      </c>
      <c r="J3363" s="254">
        <v>7086.635132945943</v>
      </c>
      <c r="K3363" s="51">
        <f t="shared" si="176"/>
        <v>17007924</v>
      </c>
      <c r="L3363" s="966" t="s">
        <v>172</v>
      </c>
      <c r="M3363" s="966" t="s">
        <v>167</v>
      </c>
      <c r="N3363" s="52" t="str">
        <f>IF(AND('331-CT'!$E$7=TH!H3363,OR(L3363="331",M3363="331")),"331",IF(AND(OR(L3363="131",M3363="131"),H3363='131-CT'!$E$7),"131",""))</f>
        <v/>
      </c>
      <c r="O3363" s="857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/>
      </c>
      <c r="AB3363" s="765"/>
    </row>
    <row r="3364" spans="1:28" s="900" customFormat="1" ht="15.75" customHeight="1">
      <c r="A3364" s="895" t="str">
        <f>IF(B3364&lt;&gt;"",IF(AND(B3364&gt;=_TM1,B3364&lt;=_TM2,OR(TH!L3364="1111",TH!M3364="1111")),TH!D3364,""),"")</f>
        <v/>
      </c>
      <c r="B3364" s="896">
        <f t="shared" si="174"/>
        <v>12</v>
      </c>
      <c r="C3364" s="897">
        <f t="shared" si="175"/>
        <v>42731</v>
      </c>
      <c r="D3364" s="897" t="s">
        <v>1580</v>
      </c>
      <c r="E3364" s="869">
        <v>42731</v>
      </c>
      <c r="F3364" s="964" t="s">
        <v>1505</v>
      </c>
      <c r="G3364" s="871" t="s">
        <v>1541</v>
      </c>
      <c r="H3364" s="965" t="s">
        <v>1328</v>
      </c>
      <c r="I3364" s="254">
        <v>2030</v>
      </c>
      <c r="J3364" s="254">
        <v>7086.635132945943</v>
      </c>
      <c r="K3364" s="51">
        <f t="shared" si="176"/>
        <v>14385869</v>
      </c>
      <c r="L3364" s="966" t="s">
        <v>172</v>
      </c>
      <c r="M3364" s="966" t="s">
        <v>167</v>
      </c>
      <c r="N3364" s="52" t="str">
        <f>IF(AND('331-CT'!$E$7=TH!H3364,OR(L3364="331",M3364="331")),"331",IF(AND(OR(L3364="131",M3364="131"),H3364='131-CT'!$E$7),"131",""))</f>
        <v/>
      </c>
      <c r="O3364" s="857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/>
      </c>
      <c r="AB3364" s="765"/>
    </row>
    <row r="3365" spans="1:28" s="900" customFormat="1" ht="15.75" customHeight="1">
      <c r="A3365" s="895" t="str">
        <f>IF(B3365&lt;&gt;"",IF(AND(B3365&gt;=_TM1,B3365&lt;=_TM2,OR(TH!L3365="1111",TH!M3365="1111")),TH!D3365,""),"")</f>
        <v/>
      </c>
      <c r="B3365" s="896">
        <f t="shared" si="174"/>
        <v>12</v>
      </c>
      <c r="C3365" s="897">
        <f t="shared" si="175"/>
        <v>42732</v>
      </c>
      <c r="D3365" s="897" t="s">
        <v>1580</v>
      </c>
      <c r="E3365" s="869">
        <v>42732</v>
      </c>
      <c r="F3365" s="964" t="s">
        <v>1419</v>
      </c>
      <c r="G3365" s="871" t="s">
        <v>1542</v>
      </c>
      <c r="H3365" s="965" t="s">
        <v>1328</v>
      </c>
      <c r="I3365" s="254">
        <v>509</v>
      </c>
      <c r="J3365" s="254">
        <v>8099.0115805096493</v>
      </c>
      <c r="K3365" s="51">
        <f t="shared" si="176"/>
        <v>4122397</v>
      </c>
      <c r="L3365" s="966" t="s">
        <v>172</v>
      </c>
      <c r="M3365" s="966" t="s">
        <v>167</v>
      </c>
      <c r="N3365" s="52" t="str">
        <f>IF(AND('331-CT'!$E$7=TH!H3365,OR(L3365="331",M3365="331")),"331",IF(AND(OR(L3365="131",M3365="131"),H3365='131-CT'!$E$7),"131",""))</f>
        <v/>
      </c>
      <c r="O3365" s="857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/>
      </c>
      <c r="AB3365" s="765"/>
    </row>
    <row r="3366" spans="1:28" s="900" customFormat="1" ht="15.75" customHeight="1">
      <c r="A3366" s="895" t="str">
        <f>IF(B3366&lt;&gt;"",IF(AND(B3366&gt;=_TM1,B3366&lt;=_TM2,OR(TH!L3366="1111",TH!M3366="1111")),TH!D3366,""),"")</f>
        <v/>
      </c>
      <c r="B3366" s="896">
        <f t="shared" si="174"/>
        <v>12</v>
      </c>
      <c r="C3366" s="897">
        <f t="shared" si="175"/>
        <v>42732</v>
      </c>
      <c r="D3366" s="897" t="s">
        <v>1580</v>
      </c>
      <c r="E3366" s="869">
        <v>42732</v>
      </c>
      <c r="F3366" s="964" t="s">
        <v>1286</v>
      </c>
      <c r="G3366" s="871" t="s">
        <v>1543</v>
      </c>
      <c r="H3366" s="965" t="s">
        <v>1328</v>
      </c>
      <c r="I3366" s="254">
        <v>1049</v>
      </c>
      <c r="J3366" s="254">
        <v>6917.9057250186588</v>
      </c>
      <c r="K3366" s="51">
        <f t="shared" si="176"/>
        <v>7256883</v>
      </c>
      <c r="L3366" s="966" t="s">
        <v>172</v>
      </c>
      <c r="M3366" s="966" t="s">
        <v>167</v>
      </c>
      <c r="N3366" s="52" t="str">
        <f>IF(AND('331-CT'!$E$7=TH!H3366,OR(L3366="331",M3366="331")),"331",IF(AND(OR(L3366="131",M3366="131"),H3366='131-CT'!$E$7),"131",""))</f>
        <v/>
      </c>
      <c r="O3366" s="857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/>
      </c>
      <c r="AB3366" s="765"/>
    </row>
    <row r="3367" spans="1:28" s="900" customFormat="1" ht="15.75" customHeight="1">
      <c r="A3367" s="895" t="str">
        <f>IF(B3367&lt;&gt;"",IF(AND(B3367&gt;=_TM1,B3367&lt;=_TM2,OR(TH!L3367="1111",TH!M3367="1111")),TH!D3367,""),"")</f>
        <v/>
      </c>
      <c r="B3367" s="896">
        <f t="shared" si="174"/>
        <v>12</v>
      </c>
      <c r="C3367" s="897">
        <f t="shared" si="175"/>
        <v>42732</v>
      </c>
      <c r="D3367" s="897" t="s">
        <v>1580</v>
      </c>
      <c r="E3367" s="869">
        <v>42732</v>
      </c>
      <c r="F3367" s="964" t="s">
        <v>1287</v>
      </c>
      <c r="G3367" s="871" t="s">
        <v>1543</v>
      </c>
      <c r="H3367" s="965" t="s">
        <v>1328</v>
      </c>
      <c r="I3367" s="254">
        <v>504</v>
      </c>
      <c r="J3367" s="254">
        <v>7677.1880606914392</v>
      </c>
      <c r="K3367" s="51">
        <f t="shared" si="176"/>
        <v>3869303</v>
      </c>
      <c r="L3367" s="966" t="s">
        <v>172</v>
      </c>
      <c r="M3367" s="966" t="s">
        <v>167</v>
      </c>
      <c r="N3367" s="52" t="str">
        <f>IF(AND('331-CT'!$E$7=TH!H3367,OR(L3367="331",M3367="331")),"331",IF(AND(OR(L3367="131",M3367="131"),H3367='131-CT'!$E$7),"131",""))</f>
        <v/>
      </c>
      <c r="O3367" s="857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/>
      </c>
      <c r="AB3367" s="765"/>
    </row>
    <row r="3368" spans="1:28" s="900" customFormat="1" ht="15.75" customHeight="1">
      <c r="A3368" s="895" t="str">
        <f>IF(B3368&lt;&gt;"",IF(AND(B3368&gt;=_TM1,B3368&lt;=_TM2,OR(TH!L3368="1111",TH!M3368="1111")),TH!D3368,""),"")</f>
        <v/>
      </c>
      <c r="B3368" s="896">
        <f t="shared" si="174"/>
        <v>12</v>
      </c>
      <c r="C3368" s="897">
        <f t="shared" si="175"/>
        <v>42734</v>
      </c>
      <c r="D3368" s="897" t="s">
        <v>1580</v>
      </c>
      <c r="E3368" s="869">
        <v>42734</v>
      </c>
      <c r="F3368" s="967" t="s">
        <v>430</v>
      </c>
      <c r="G3368" s="871" t="s">
        <v>1544</v>
      </c>
      <c r="H3368" s="965" t="s">
        <v>1328</v>
      </c>
      <c r="I3368" s="254">
        <v>540</v>
      </c>
      <c r="J3368" s="254">
        <v>8014.6468765460077</v>
      </c>
      <c r="K3368" s="51">
        <f t="shared" si="176"/>
        <v>4327909</v>
      </c>
      <c r="L3368" s="966" t="s">
        <v>172</v>
      </c>
      <c r="M3368" s="966" t="s">
        <v>167</v>
      </c>
      <c r="N3368" s="52" t="str">
        <f>IF(AND('331-CT'!$E$7=TH!H3368,OR(L3368="331",M3368="331")),"331",IF(AND(OR(L3368="131",M3368="131"),H3368='131-CT'!$E$7),"131",""))</f>
        <v/>
      </c>
      <c r="O3368" s="857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/>
      </c>
      <c r="AB3368" s="765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 t="str">
        <f t="shared" si="174"/>
        <v/>
      </c>
      <c r="C3369" s="37"/>
      <c r="D3369" s="37"/>
      <c r="E3369" s="37"/>
      <c r="F3369" s="40"/>
      <c r="G3369" s="40"/>
      <c r="H3369" s="44"/>
      <c r="I3369" s="256"/>
      <c r="J3369" s="256"/>
      <c r="K3369" s="38"/>
      <c r="L3369" s="39"/>
      <c r="M3369" s="39"/>
      <c r="N3369" s="52" t="str">
        <f>IF(AND('331-CT'!$E$7=TH!H3369,OR(L3369="331",M3369="331")),"331",IF(AND(OR(L3369="131",M3369="131"),H3369='131-CT'!$E$7),"131",""))</f>
        <v/>
      </c>
      <c r="O3369" s="857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/>
      </c>
      <c r="AB3369" s="790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 t="str">
        <f t="shared" si="174"/>
        <v/>
      </c>
      <c r="C3370" s="37"/>
      <c r="D3370" s="37"/>
      <c r="E3370" s="37"/>
      <c r="F3370" s="40"/>
      <c r="G3370" s="40"/>
      <c r="H3370" s="44"/>
      <c r="I3370" s="256"/>
      <c r="J3370" s="256"/>
      <c r="K3370" s="38"/>
      <c r="L3370" s="39"/>
      <c r="M3370" s="39"/>
      <c r="N3370" s="52" t="str">
        <f>IF(AND('331-CT'!$E$7=TH!H3370,OR(L3370="331",M3370="331")),"331",IF(AND(OR(L3370="131",M3370="131"),H3370='131-CT'!$E$7),"131",""))</f>
        <v/>
      </c>
      <c r="O3370" s="857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/>
      </c>
      <c r="AB3370" s="790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 t="str">
        <f t="shared" si="174"/>
        <v/>
      </c>
      <c r="C3371" s="37"/>
      <c r="D3371" s="37"/>
      <c r="E3371" s="37"/>
      <c r="F3371" s="40"/>
      <c r="G3371" s="40"/>
      <c r="H3371" s="44"/>
      <c r="I3371" s="256"/>
      <c r="J3371" s="256"/>
      <c r="K3371" s="38"/>
      <c r="L3371" s="39"/>
      <c r="M3371" s="39"/>
      <c r="N3371" s="52" t="str">
        <f>IF(AND('331-CT'!$E$7=TH!H3371,OR(L3371="331",M3371="331")),"331",IF(AND(OR(L3371="131",M3371="131"),H3371='131-CT'!$E$7),"131",""))</f>
        <v/>
      </c>
      <c r="O3371" s="857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/>
      </c>
      <c r="AB3371" s="790"/>
    </row>
    <row r="3375" spans="1:28">
      <c r="K3375" s="452">
        <f>SUBTOTAL(9,K10:K3371)</f>
        <v>42478714972</v>
      </c>
    </row>
  </sheetData>
  <autoFilter ref="A9:AE3371"/>
  <sortState ref="A63:AG1930">
    <sortCondition ref="C63:C1930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8" customWidth="1"/>
    <col min="2" max="2" width="9.28515625" style="588" customWidth="1"/>
    <col min="3" max="3" width="10" style="588" customWidth="1"/>
    <col min="4" max="4" width="41.42578125" style="588" customWidth="1"/>
    <col min="5" max="5" width="6" style="588" customWidth="1"/>
    <col min="6" max="6" width="7.85546875" style="588" customWidth="1"/>
    <col min="7" max="7" width="8.5703125" style="588" customWidth="1"/>
    <col min="8" max="8" width="13.85546875" style="588" customWidth="1"/>
    <col min="9" max="9" width="14.140625" style="588" customWidth="1"/>
    <col min="10" max="11" width="9.140625" style="588"/>
    <col min="12" max="12" width="3.5703125" style="588" customWidth="1"/>
    <col min="13" max="256" width="9.140625" style="588"/>
    <col min="257" max="257" width="13" style="588" customWidth="1"/>
    <col min="258" max="258" width="9.140625" style="588"/>
    <col min="259" max="259" width="13" style="588" customWidth="1"/>
    <col min="260" max="260" width="29.7109375" style="588" customWidth="1"/>
    <col min="261" max="261" width="7.7109375" style="588" customWidth="1"/>
    <col min="262" max="262" width="6" style="588" customWidth="1"/>
    <col min="263" max="263" width="11.5703125" style="588" customWidth="1"/>
    <col min="264" max="264" width="13.42578125" style="588" customWidth="1"/>
    <col min="265" max="265" width="13.85546875" style="588" customWidth="1"/>
    <col min="266" max="512" width="9.140625" style="588"/>
    <col min="513" max="513" width="13" style="588" customWidth="1"/>
    <col min="514" max="514" width="9.140625" style="588"/>
    <col min="515" max="515" width="13" style="588" customWidth="1"/>
    <col min="516" max="516" width="29.7109375" style="588" customWidth="1"/>
    <col min="517" max="517" width="7.7109375" style="588" customWidth="1"/>
    <col min="518" max="518" width="6" style="588" customWidth="1"/>
    <col min="519" max="519" width="11.5703125" style="588" customWidth="1"/>
    <col min="520" max="520" width="13.42578125" style="588" customWidth="1"/>
    <col min="521" max="521" width="13.85546875" style="588" customWidth="1"/>
    <col min="522" max="768" width="9.140625" style="588"/>
    <col min="769" max="769" width="13" style="588" customWidth="1"/>
    <col min="770" max="770" width="9.140625" style="588"/>
    <col min="771" max="771" width="13" style="588" customWidth="1"/>
    <col min="772" max="772" width="29.7109375" style="588" customWidth="1"/>
    <col min="773" max="773" width="7.7109375" style="588" customWidth="1"/>
    <col min="774" max="774" width="6" style="588" customWidth="1"/>
    <col min="775" max="775" width="11.5703125" style="588" customWidth="1"/>
    <col min="776" max="776" width="13.42578125" style="588" customWidth="1"/>
    <col min="777" max="777" width="13.85546875" style="588" customWidth="1"/>
    <col min="778" max="1024" width="9.140625" style="588"/>
    <col min="1025" max="1025" width="13" style="588" customWidth="1"/>
    <col min="1026" max="1026" width="9.140625" style="588"/>
    <col min="1027" max="1027" width="13" style="588" customWidth="1"/>
    <col min="1028" max="1028" width="29.7109375" style="588" customWidth="1"/>
    <col min="1029" max="1029" width="7.7109375" style="588" customWidth="1"/>
    <col min="1030" max="1030" width="6" style="588" customWidth="1"/>
    <col min="1031" max="1031" width="11.5703125" style="588" customWidth="1"/>
    <col min="1032" max="1032" width="13.42578125" style="588" customWidth="1"/>
    <col min="1033" max="1033" width="13.85546875" style="588" customWidth="1"/>
    <col min="1034" max="1280" width="9.140625" style="588"/>
    <col min="1281" max="1281" width="13" style="588" customWidth="1"/>
    <col min="1282" max="1282" width="9.140625" style="588"/>
    <col min="1283" max="1283" width="13" style="588" customWidth="1"/>
    <col min="1284" max="1284" width="29.7109375" style="588" customWidth="1"/>
    <col min="1285" max="1285" width="7.7109375" style="588" customWidth="1"/>
    <col min="1286" max="1286" width="6" style="588" customWidth="1"/>
    <col min="1287" max="1287" width="11.5703125" style="588" customWidth="1"/>
    <col min="1288" max="1288" width="13.42578125" style="588" customWidth="1"/>
    <col min="1289" max="1289" width="13.85546875" style="588" customWidth="1"/>
    <col min="1290" max="1536" width="9.140625" style="588"/>
    <col min="1537" max="1537" width="13" style="588" customWidth="1"/>
    <col min="1538" max="1538" width="9.140625" style="588"/>
    <col min="1539" max="1539" width="13" style="588" customWidth="1"/>
    <col min="1540" max="1540" width="29.7109375" style="588" customWidth="1"/>
    <col min="1541" max="1541" width="7.7109375" style="588" customWidth="1"/>
    <col min="1542" max="1542" width="6" style="588" customWidth="1"/>
    <col min="1543" max="1543" width="11.5703125" style="588" customWidth="1"/>
    <col min="1544" max="1544" width="13.42578125" style="588" customWidth="1"/>
    <col min="1545" max="1545" width="13.85546875" style="588" customWidth="1"/>
    <col min="1546" max="1792" width="9.140625" style="588"/>
    <col min="1793" max="1793" width="13" style="588" customWidth="1"/>
    <col min="1794" max="1794" width="9.140625" style="588"/>
    <col min="1795" max="1795" width="13" style="588" customWidth="1"/>
    <col min="1796" max="1796" width="29.7109375" style="588" customWidth="1"/>
    <col min="1797" max="1797" width="7.7109375" style="588" customWidth="1"/>
    <col min="1798" max="1798" width="6" style="588" customWidth="1"/>
    <col min="1799" max="1799" width="11.5703125" style="588" customWidth="1"/>
    <col min="1800" max="1800" width="13.42578125" style="588" customWidth="1"/>
    <col min="1801" max="1801" width="13.85546875" style="588" customWidth="1"/>
    <col min="1802" max="2048" width="9.140625" style="588"/>
    <col min="2049" max="2049" width="13" style="588" customWidth="1"/>
    <col min="2050" max="2050" width="9.140625" style="588"/>
    <col min="2051" max="2051" width="13" style="588" customWidth="1"/>
    <col min="2052" max="2052" width="29.7109375" style="588" customWidth="1"/>
    <col min="2053" max="2053" width="7.7109375" style="588" customWidth="1"/>
    <col min="2054" max="2054" width="6" style="588" customWidth="1"/>
    <col min="2055" max="2055" width="11.5703125" style="588" customWidth="1"/>
    <col min="2056" max="2056" width="13.42578125" style="588" customWidth="1"/>
    <col min="2057" max="2057" width="13.85546875" style="588" customWidth="1"/>
    <col min="2058" max="2304" width="9.140625" style="588"/>
    <col min="2305" max="2305" width="13" style="588" customWidth="1"/>
    <col min="2306" max="2306" width="9.140625" style="588"/>
    <col min="2307" max="2307" width="13" style="588" customWidth="1"/>
    <col min="2308" max="2308" width="29.7109375" style="588" customWidth="1"/>
    <col min="2309" max="2309" width="7.7109375" style="588" customWidth="1"/>
    <col min="2310" max="2310" width="6" style="588" customWidth="1"/>
    <col min="2311" max="2311" width="11.5703125" style="588" customWidth="1"/>
    <col min="2312" max="2312" width="13.42578125" style="588" customWidth="1"/>
    <col min="2313" max="2313" width="13.85546875" style="588" customWidth="1"/>
    <col min="2314" max="2560" width="9.140625" style="588"/>
    <col min="2561" max="2561" width="13" style="588" customWidth="1"/>
    <col min="2562" max="2562" width="9.140625" style="588"/>
    <col min="2563" max="2563" width="13" style="588" customWidth="1"/>
    <col min="2564" max="2564" width="29.7109375" style="588" customWidth="1"/>
    <col min="2565" max="2565" width="7.7109375" style="588" customWidth="1"/>
    <col min="2566" max="2566" width="6" style="588" customWidth="1"/>
    <col min="2567" max="2567" width="11.5703125" style="588" customWidth="1"/>
    <col min="2568" max="2568" width="13.42578125" style="588" customWidth="1"/>
    <col min="2569" max="2569" width="13.85546875" style="588" customWidth="1"/>
    <col min="2570" max="2816" width="9.140625" style="588"/>
    <col min="2817" max="2817" width="13" style="588" customWidth="1"/>
    <col min="2818" max="2818" width="9.140625" style="588"/>
    <col min="2819" max="2819" width="13" style="588" customWidth="1"/>
    <col min="2820" max="2820" width="29.7109375" style="588" customWidth="1"/>
    <col min="2821" max="2821" width="7.7109375" style="588" customWidth="1"/>
    <col min="2822" max="2822" width="6" style="588" customWidth="1"/>
    <col min="2823" max="2823" width="11.5703125" style="588" customWidth="1"/>
    <col min="2824" max="2824" width="13.42578125" style="588" customWidth="1"/>
    <col min="2825" max="2825" width="13.85546875" style="588" customWidth="1"/>
    <col min="2826" max="3072" width="9.140625" style="588"/>
    <col min="3073" max="3073" width="13" style="588" customWidth="1"/>
    <col min="3074" max="3074" width="9.140625" style="588"/>
    <col min="3075" max="3075" width="13" style="588" customWidth="1"/>
    <col min="3076" max="3076" width="29.7109375" style="588" customWidth="1"/>
    <col min="3077" max="3077" width="7.7109375" style="588" customWidth="1"/>
    <col min="3078" max="3078" width="6" style="588" customWidth="1"/>
    <col min="3079" max="3079" width="11.5703125" style="588" customWidth="1"/>
    <col min="3080" max="3080" width="13.42578125" style="588" customWidth="1"/>
    <col min="3081" max="3081" width="13.85546875" style="588" customWidth="1"/>
    <col min="3082" max="3328" width="9.140625" style="588"/>
    <col min="3329" max="3329" width="13" style="588" customWidth="1"/>
    <col min="3330" max="3330" width="9.140625" style="588"/>
    <col min="3331" max="3331" width="13" style="588" customWidth="1"/>
    <col min="3332" max="3332" width="29.7109375" style="588" customWidth="1"/>
    <col min="3333" max="3333" width="7.7109375" style="588" customWidth="1"/>
    <col min="3334" max="3334" width="6" style="588" customWidth="1"/>
    <col min="3335" max="3335" width="11.5703125" style="588" customWidth="1"/>
    <col min="3336" max="3336" width="13.42578125" style="588" customWidth="1"/>
    <col min="3337" max="3337" width="13.85546875" style="588" customWidth="1"/>
    <col min="3338" max="3584" width="9.140625" style="588"/>
    <col min="3585" max="3585" width="13" style="588" customWidth="1"/>
    <col min="3586" max="3586" width="9.140625" style="588"/>
    <col min="3587" max="3587" width="13" style="588" customWidth="1"/>
    <col min="3588" max="3588" width="29.7109375" style="588" customWidth="1"/>
    <col min="3589" max="3589" width="7.7109375" style="588" customWidth="1"/>
    <col min="3590" max="3590" width="6" style="588" customWidth="1"/>
    <col min="3591" max="3591" width="11.5703125" style="588" customWidth="1"/>
    <col min="3592" max="3592" width="13.42578125" style="588" customWidth="1"/>
    <col min="3593" max="3593" width="13.85546875" style="588" customWidth="1"/>
    <col min="3594" max="3840" width="9.140625" style="588"/>
    <col min="3841" max="3841" width="13" style="588" customWidth="1"/>
    <col min="3842" max="3842" width="9.140625" style="588"/>
    <col min="3843" max="3843" width="13" style="588" customWidth="1"/>
    <col min="3844" max="3844" width="29.7109375" style="588" customWidth="1"/>
    <col min="3845" max="3845" width="7.7109375" style="588" customWidth="1"/>
    <col min="3846" max="3846" width="6" style="588" customWidth="1"/>
    <col min="3847" max="3847" width="11.5703125" style="588" customWidth="1"/>
    <col min="3848" max="3848" width="13.42578125" style="588" customWidth="1"/>
    <col min="3849" max="3849" width="13.85546875" style="588" customWidth="1"/>
    <col min="3850" max="4096" width="9.140625" style="588"/>
    <col min="4097" max="4097" width="13" style="588" customWidth="1"/>
    <col min="4098" max="4098" width="9.140625" style="588"/>
    <col min="4099" max="4099" width="13" style="588" customWidth="1"/>
    <col min="4100" max="4100" width="29.7109375" style="588" customWidth="1"/>
    <col min="4101" max="4101" width="7.7109375" style="588" customWidth="1"/>
    <col min="4102" max="4102" width="6" style="588" customWidth="1"/>
    <col min="4103" max="4103" width="11.5703125" style="588" customWidth="1"/>
    <col min="4104" max="4104" width="13.42578125" style="588" customWidth="1"/>
    <col min="4105" max="4105" width="13.85546875" style="588" customWidth="1"/>
    <col min="4106" max="4352" width="9.140625" style="588"/>
    <col min="4353" max="4353" width="13" style="588" customWidth="1"/>
    <col min="4354" max="4354" width="9.140625" style="588"/>
    <col min="4355" max="4355" width="13" style="588" customWidth="1"/>
    <col min="4356" max="4356" width="29.7109375" style="588" customWidth="1"/>
    <col min="4357" max="4357" width="7.7109375" style="588" customWidth="1"/>
    <col min="4358" max="4358" width="6" style="588" customWidth="1"/>
    <col min="4359" max="4359" width="11.5703125" style="588" customWidth="1"/>
    <col min="4360" max="4360" width="13.42578125" style="588" customWidth="1"/>
    <col min="4361" max="4361" width="13.85546875" style="588" customWidth="1"/>
    <col min="4362" max="4608" width="9.140625" style="588"/>
    <col min="4609" max="4609" width="13" style="588" customWidth="1"/>
    <col min="4610" max="4610" width="9.140625" style="588"/>
    <col min="4611" max="4611" width="13" style="588" customWidth="1"/>
    <col min="4612" max="4612" width="29.7109375" style="588" customWidth="1"/>
    <col min="4613" max="4613" width="7.7109375" style="588" customWidth="1"/>
    <col min="4614" max="4614" width="6" style="588" customWidth="1"/>
    <col min="4615" max="4615" width="11.5703125" style="588" customWidth="1"/>
    <col min="4616" max="4616" width="13.42578125" style="588" customWidth="1"/>
    <col min="4617" max="4617" width="13.85546875" style="588" customWidth="1"/>
    <col min="4618" max="4864" width="9.140625" style="588"/>
    <col min="4865" max="4865" width="13" style="588" customWidth="1"/>
    <col min="4866" max="4866" width="9.140625" style="588"/>
    <col min="4867" max="4867" width="13" style="588" customWidth="1"/>
    <col min="4868" max="4868" width="29.7109375" style="588" customWidth="1"/>
    <col min="4869" max="4869" width="7.7109375" style="588" customWidth="1"/>
    <col min="4870" max="4870" width="6" style="588" customWidth="1"/>
    <col min="4871" max="4871" width="11.5703125" style="588" customWidth="1"/>
    <col min="4872" max="4872" width="13.42578125" style="588" customWidth="1"/>
    <col min="4873" max="4873" width="13.85546875" style="588" customWidth="1"/>
    <col min="4874" max="5120" width="9.140625" style="588"/>
    <col min="5121" max="5121" width="13" style="588" customWidth="1"/>
    <col min="5122" max="5122" width="9.140625" style="588"/>
    <col min="5123" max="5123" width="13" style="588" customWidth="1"/>
    <col min="5124" max="5124" width="29.7109375" style="588" customWidth="1"/>
    <col min="5125" max="5125" width="7.7109375" style="588" customWidth="1"/>
    <col min="5126" max="5126" width="6" style="588" customWidth="1"/>
    <col min="5127" max="5127" width="11.5703125" style="588" customWidth="1"/>
    <col min="5128" max="5128" width="13.42578125" style="588" customWidth="1"/>
    <col min="5129" max="5129" width="13.85546875" style="588" customWidth="1"/>
    <col min="5130" max="5376" width="9.140625" style="588"/>
    <col min="5377" max="5377" width="13" style="588" customWidth="1"/>
    <col min="5378" max="5378" width="9.140625" style="588"/>
    <col min="5379" max="5379" width="13" style="588" customWidth="1"/>
    <col min="5380" max="5380" width="29.7109375" style="588" customWidth="1"/>
    <col min="5381" max="5381" width="7.7109375" style="588" customWidth="1"/>
    <col min="5382" max="5382" width="6" style="588" customWidth="1"/>
    <col min="5383" max="5383" width="11.5703125" style="588" customWidth="1"/>
    <col min="5384" max="5384" width="13.42578125" style="588" customWidth="1"/>
    <col min="5385" max="5385" width="13.85546875" style="588" customWidth="1"/>
    <col min="5386" max="5632" width="9.140625" style="588"/>
    <col min="5633" max="5633" width="13" style="588" customWidth="1"/>
    <col min="5634" max="5634" width="9.140625" style="588"/>
    <col min="5635" max="5635" width="13" style="588" customWidth="1"/>
    <col min="5636" max="5636" width="29.7109375" style="588" customWidth="1"/>
    <col min="5637" max="5637" width="7.7109375" style="588" customWidth="1"/>
    <col min="5638" max="5638" width="6" style="588" customWidth="1"/>
    <col min="5639" max="5639" width="11.5703125" style="588" customWidth="1"/>
    <col min="5640" max="5640" width="13.42578125" style="588" customWidth="1"/>
    <col min="5641" max="5641" width="13.85546875" style="588" customWidth="1"/>
    <col min="5642" max="5888" width="9.140625" style="588"/>
    <col min="5889" max="5889" width="13" style="588" customWidth="1"/>
    <col min="5890" max="5890" width="9.140625" style="588"/>
    <col min="5891" max="5891" width="13" style="588" customWidth="1"/>
    <col min="5892" max="5892" width="29.7109375" style="588" customWidth="1"/>
    <col min="5893" max="5893" width="7.7109375" style="588" customWidth="1"/>
    <col min="5894" max="5894" width="6" style="588" customWidth="1"/>
    <col min="5895" max="5895" width="11.5703125" style="588" customWidth="1"/>
    <col min="5896" max="5896" width="13.42578125" style="588" customWidth="1"/>
    <col min="5897" max="5897" width="13.85546875" style="588" customWidth="1"/>
    <col min="5898" max="6144" width="9.140625" style="588"/>
    <col min="6145" max="6145" width="13" style="588" customWidth="1"/>
    <col min="6146" max="6146" width="9.140625" style="588"/>
    <col min="6147" max="6147" width="13" style="588" customWidth="1"/>
    <col min="6148" max="6148" width="29.7109375" style="588" customWidth="1"/>
    <col min="6149" max="6149" width="7.7109375" style="588" customWidth="1"/>
    <col min="6150" max="6150" width="6" style="588" customWidth="1"/>
    <col min="6151" max="6151" width="11.5703125" style="588" customWidth="1"/>
    <col min="6152" max="6152" width="13.42578125" style="588" customWidth="1"/>
    <col min="6153" max="6153" width="13.85546875" style="588" customWidth="1"/>
    <col min="6154" max="6400" width="9.140625" style="588"/>
    <col min="6401" max="6401" width="13" style="588" customWidth="1"/>
    <col min="6402" max="6402" width="9.140625" style="588"/>
    <col min="6403" max="6403" width="13" style="588" customWidth="1"/>
    <col min="6404" max="6404" width="29.7109375" style="588" customWidth="1"/>
    <col min="6405" max="6405" width="7.7109375" style="588" customWidth="1"/>
    <col min="6406" max="6406" width="6" style="588" customWidth="1"/>
    <col min="6407" max="6407" width="11.5703125" style="588" customWidth="1"/>
    <col min="6408" max="6408" width="13.42578125" style="588" customWidth="1"/>
    <col min="6409" max="6409" width="13.85546875" style="588" customWidth="1"/>
    <col min="6410" max="6656" width="9.140625" style="588"/>
    <col min="6657" max="6657" width="13" style="588" customWidth="1"/>
    <col min="6658" max="6658" width="9.140625" style="588"/>
    <col min="6659" max="6659" width="13" style="588" customWidth="1"/>
    <col min="6660" max="6660" width="29.7109375" style="588" customWidth="1"/>
    <col min="6661" max="6661" width="7.7109375" style="588" customWidth="1"/>
    <col min="6662" max="6662" width="6" style="588" customWidth="1"/>
    <col min="6663" max="6663" width="11.5703125" style="588" customWidth="1"/>
    <col min="6664" max="6664" width="13.42578125" style="588" customWidth="1"/>
    <col min="6665" max="6665" width="13.85546875" style="588" customWidth="1"/>
    <col min="6666" max="6912" width="9.140625" style="588"/>
    <col min="6913" max="6913" width="13" style="588" customWidth="1"/>
    <col min="6914" max="6914" width="9.140625" style="588"/>
    <col min="6915" max="6915" width="13" style="588" customWidth="1"/>
    <col min="6916" max="6916" width="29.7109375" style="588" customWidth="1"/>
    <col min="6917" max="6917" width="7.7109375" style="588" customWidth="1"/>
    <col min="6918" max="6918" width="6" style="588" customWidth="1"/>
    <col min="6919" max="6919" width="11.5703125" style="588" customWidth="1"/>
    <col min="6920" max="6920" width="13.42578125" style="588" customWidth="1"/>
    <col min="6921" max="6921" width="13.85546875" style="588" customWidth="1"/>
    <col min="6922" max="7168" width="9.140625" style="588"/>
    <col min="7169" max="7169" width="13" style="588" customWidth="1"/>
    <col min="7170" max="7170" width="9.140625" style="588"/>
    <col min="7171" max="7171" width="13" style="588" customWidth="1"/>
    <col min="7172" max="7172" width="29.7109375" style="588" customWidth="1"/>
    <col min="7173" max="7173" width="7.7109375" style="588" customWidth="1"/>
    <col min="7174" max="7174" width="6" style="588" customWidth="1"/>
    <col min="7175" max="7175" width="11.5703125" style="588" customWidth="1"/>
    <col min="7176" max="7176" width="13.42578125" style="588" customWidth="1"/>
    <col min="7177" max="7177" width="13.85546875" style="588" customWidth="1"/>
    <col min="7178" max="7424" width="9.140625" style="588"/>
    <col min="7425" max="7425" width="13" style="588" customWidth="1"/>
    <col min="7426" max="7426" width="9.140625" style="588"/>
    <col min="7427" max="7427" width="13" style="588" customWidth="1"/>
    <col min="7428" max="7428" width="29.7109375" style="588" customWidth="1"/>
    <col min="7429" max="7429" width="7.7109375" style="588" customWidth="1"/>
    <col min="7430" max="7430" width="6" style="588" customWidth="1"/>
    <col min="7431" max="7431" width="11.5703125" style="588" customWidth="1"/>
    <col min="7432" max="7432" width="13.42578125" style="588" customWidth="1"/>
    <col min="7433" max="7433" width="13.85546875" style="588" customWidth="1"/>
    <col min="7434" max="7680" width="9.140625" style="588"/>
    <col min="7681" max="7681" width="13" style="588" customWidth="1"/>
    <col min="7682" max="7682" width="9.140625" style="588"/>
    <col min="7683" max="7683" width="13" style="588" customWidth="1"/>
    <col min="7684" max="7684" width="29.7109375" style="588" customWidth="1"/>
    <col min="7685" max="7685" width="7.7109375" style="588" customWidth="1"/>
    <col min="7686" max="7686" width="6" style="588" customWidth="1"/>
    <col min="7687" max="7687" width="11.5703125" style="588" customWidth="1"/>
    <col min="7688" max="7688" width="13.42578125" style="588" customWidth="1"/>
    <col min="7689" max="7689" width="13.85546875" style="588" customWidth="1"/>
    <col min="7690" max="7936" width="9.140625" style="588"/>
    <col min="7937" max="7937" width="13" style="588" customWidth="1"/>
    <col min="7938" max="7938" width="9.140625" style="588"/>
    <col min="7939" max="7939" width="13" style="588" customWidth="1"/>
    <col min="7940" max="7940" width="29.7109375" style="588" customWidth="1"/>
    <col min="7941" max="7941" width="7.7109375" style="588" customWidth="1"/>
    <col min="7942" max="7942" width="6" style="588" customWidth="1"/>
    <col min="7943" max="7943" width="11.5703125" style="588" customWidth="1"/>
    <col min="7944" max="7944" width="13.42578125" style="588" customWidth="1"/>
    <col min="7945" max="7945" width="13.85546875" style="588" customWidth="1"/>
    <col min="7946" max="8192" width="9.140625" style="588"/>
    <col min="8193" max="8193" width="13" style="588" customWidth="1"/>
    <col min="8194" max="8194" width="9.140625" style="588"/>
    <col min="8195" max="8195" width="13" style="588" customWidth="1"/>
    <col min="8196" max="8196" width="29.7109375" style="588" customWidth="1"/>
    <col min="8197" max="8197" width="7.7109375" style="588" customWidth="1"/>
    <col min="8198" max="8198" width="6" style="588" customWidth="1"/>
    <col min="8199" max="8199" width="11.5703125" style="588" customWidth="1"/>
    <col min="8200" max="8200" width="13.42578125" style="588" customWidth="1"/>
    <col min="8201" max="8201" width="13.85546875" style="588" customWidth="1"/>
    <col min="8202" max="8448" width="9.140625" style="588"/>
    <col min="8449" max="8449" width="13" style="588" customWidth="1"/>
    <col min="8450" max="8450" width="9.140625" style="588"/>
    <col min="8451" max="8451" width="13" style="588" customWidth="1"/>
    <col min="8452" max="8452" width="29.7109375" style="588" customWidth="1"/>
    <col min="8453" max="8453" width="7.7109375" style="588" customWidth="1"/>
    <col min="8454" max="8454" width="6" style="588" customWidth="1"/>
    <col min="8455" max="8455" width="11.5703125" style="588" customWidth="1"/>
    <col min="8456" max="8456" width="13.42578125" style="588" customWidth="1"/>
    <col min="8457" max="8457" width="13.85546875" style="588" customWidth="1"/>
    <col min="8458" max="8704" width="9.140625" style="588"/>
    <col min="8705" max="8705" width="13" style="588" customWidth="1"/>
    <col min="8706" max="8706" width="9.140625" style="588"/>
    <col min="8707" max="8707" width="13" style="588" customWidth="1"/>
    <col min="8708" max="8708" width="29.7109375" style="588" customWidth="1"/>
    <col min="8709" max="8709" width="7.7109375" style="588" customWidth="1"/>
    <col min="8710" max="8710" width="6" style="588" customWidth="1"/>
    <col min="8711" max="8711" width="11.5703125" style="588" customWidth="1"/>
    <col min="8712" max="8712" width="13.42578125" style="588" customWidth="1"/>
    <col min="8713" max="8713" width="13.85546875" style="588" customWidth="1"/>
    <col min="8714" max="8960" width="9.140625" style="588"/>
    <col min="8961" max="8961" width="13" style="588" customWidth="1"/>
    <col min="8962" max="8962" width="9.140625" style="588"/>
    <col min="8963" max="8963" width="13" style="588" customWidth="1"/>
    <col min="8964" max="8964" width="29.7109375" style="588" customWidth="1"/>
    <col min="8965" max="8965" width="7.7109375" style="588" customWidth="1"/>
    <col min="8966" max="8966" width="6" style="588" customWidth="1"/>
    <col min="8967" max="8967" width="11.5703125" style="588" customWidth="1"/>
    <col min="8968" max="8968" width="13.42578125" style="588" customWidth="1"/>
    <col min="8969" max="8969" width="13.85546875" style="588" customWidth="1"/>
    <col min="8970" max="9216" width="9.140625" style="588"/>
    <col min="9217" max="9217" width="13" style="588" customWidth="1"/>
    <col min="9218" max="9218" width="9.140625" style="588"/>
    <col min="9219" max="9219" width="13" style="588" customWidth="1"/>
    <col min="9220" max="9220" width="29.7109375" style="588" customWidth="1"/>
    <col min="9221" max="9221" width="7.7109375" style="588" customWidth="1"/>
    <col min="9222" max="9222" width="6" style="588" customWidth="1"/>
    <col min="9223" max="9223" width="11.5703125" style="588" customWidth="1"/>
    <col min="9224" max="9224" width="13.42578125" style="588" customWidth="1"/>
    <col min="9225" max="9225" width="13.85546875" style="588" customWidth="1"/>
    <col min="9226" max="9472" width="9.140625" style="588"/>
    <col min="9473" max="9473" width="13" style="588" customWidth="1"/>
    <col min="9474" max="9474" width="9.140625" style="588"/>
    <col min="9475" max="9475" width="13" style="588" customWidth="1"/>
    <col min="9476" max="9476" width="29.7109375" style="588" customWidth="1"/>
    <col min="9477" max="9477" width="7.7109375" style="588" customWidth="1"/>
    <col min="9478" max="9478" width="6" style="588" customWidth="1"/>
    <col min="9479" max="9479" width="11.5703125" style="588" customWidth="1"/>
    <col min="9480" max="9480" width="13.42578125" style="588" customWidth="1"/>
    <col min="9481" max="9481" width="13.85546875" style="588" customWidth="1"/>
    <col min="9482" max="9728" width="9.140625" style="588"/>
    <col min="9729" max="9729" width="13" style="588" customWidth="1"/>
    <col min="9730" max="9730" width="9.140625" style="588"/>
    <col min="9731" max="9731" width="13" style="588" customWidth="1"/>
    <col min="9732" max="9732" width="29.7109375" style="588" customWidth="1"/>
    <col min="9733" max="9733" width="7.7109375" style="588" customWidth="1"/>
    <col min="9734" max="9734" width="6" style="588" customWidth="1"/>
    <col min="9735" max="9735" width="11.5703125" style="588" customWidth="1"/>
    <col min="9736" max="9736" width="13.42578125" style="588" customWidth="1"/>
    <col min="9737" max="9737" width="13.85546875" style="588" customWidth="1"/>
    <col min="9738" max="9984" width="9.140625" style="588"/>
    <col min="9985" max="9985" width="13" style="588" customWidth="1"/>
    <col min="9986" max="9986" width="9.140625" style="588"/>
    <col min="9987" max="9987" width="13" style="588" customWidth="1"/>
    <col min="9988" max="9988" width="29.7109375" style="588" customWidth="1"/>
    <col min="9989" max="9989" width="7.7109375" style="588" customWidth="1"/>
    <col min="9990" max="9990" width="6" style="588" customWidth="1"/>
    <col min="9991" max="9991" width="11.5703125" style="588" customWidth="1"/>
    <col min="9992" max="9992" width="13.42578125" style="588" customWidth="1"/>
    <col min="9993" max="9993" width="13.85546875" style="588" customWidth="1"/>
    <col min="9994" max="10240" width="9.140625" style="588"/>
    <col min="10241" max="10241" width="13" style="588" customWidth="1"/>
    <col min="10242" max="10242" width="9.140625" style="588"/>
    <col min="10243" max="10243" width="13" style="588" customWidth="1"/>
    <col min="10244" max="10244" width="29.7109375" style="588" customWidth="1"/>
    <col min="10245" max="10245" width="7.7109375" style="588" customWidth="1"/>
    <col min="10246" max="10246" width="6" style="588" customWidth="1"/>
    <col min="10247" max="10247" width="11.5703125" style="588" customWidth="1"/>
    <col min="10248" max="10248" width="13.42578125" style="588" customWidth="1"/>
    <col min="10249" max="10249" width="13.85546875" style="588" customWidth="1"/>
    <col min="10250" max="10496" width="9.140625" style="588"/>
    <col min="10497" max="10497" width="13" style="588" customWidth="1"/>
    <col min="10498" max="10498" width="9.140625" style="588"/>
    <col min="10499" max="10499" width="13" style="588" customWidth="1"/>
    <col min="10500" max="10500" width="29.7109375" style="588" customWidth="1"/>
    <col min="10501" max="10501" width="7.7109375" style="588" customWidth="1"/>
    <col min="10502" max="10502" width="6" style="588" customWidth="1"/>
    <col min="10503" max="10503" width="11.5703125" style="588" customWidth="1"/>
    <col min="10504" max="10504" width="13.42578125" style="588" customWidth="1"/>
    <col min="10505" max="10505" width="13.85546875" style="588" customWidth="1"/>
    <col min="10506" max="10752" width="9.140625" style="588"/>
    <col min="10753" max="10753" width="13" style="588" customWidth="1"/>
    <col min="10754" max="10754" width="9.140625" style="588"/>
    <col min="10755" max="10755" width="13" style="588" customWidth="1"/>
    <col min="10756" max="10756" width="29.7109375" style="588" customWidth="1"/>
    <col min="10757" max="10757" width="7.7109375" style="588" customWidth="1"/>
    <col min="10758" max="10758" width="6" style="588" customWidth="1"/>
    <col min="10759" max="10759" width="11.5703125" style="588" customWidth="1"/>
    <col min="10760" max="10760" width="13.42578125" style="588" customWidth="1"/>
    <col min="10761" max="10761" width="13.85546875" style="588" customWidth="1"/>
    <col min="10762" max="11008" width="9.140625" style="588"/>
    <col min="11009" max="11009" width="13" style="588" customWidth="1"/>
    <col min="11010" max="11010" width="9.140625" style="588"/>
    <col min="11011" max="11011" width="13" style="588" customWidth="1"/>
    <col min="11012" max="11012" width="29.7109375" style="588" customWidth="1"/>
    <col min="11013" max="11013" width="7.7109375" style="588" customWidth="1"/>
    <col min="11014" max="11014" width="6" style="588" customWidth="1"/>
    <col min="11015" max="11015" width="11.5703125" style="588" customWidth="1"/>
    <col min="11016" max="11016" width="13.42578125" style="588" customWidth="1"/>
    <col min="11017" max="11017" width="13.85546875" style="588" customWidth="1"/>
    <col min="11018" max="11264" width="9.140625" style="588"/>
    <col min="11265" max="11265" width="13" style="588" customWidth="1"/>
    <col min="11266" max="11266" width="9.140625" style="588"/>
    <col min="11267" max="11267" width="13" style="588" customWidth="1"/>
    <col min="11268" max="11268" width="29.7109375" style="588" customWidth="1"/>
    <col min="11269" max="11269" width="7.7109375" style="588" customWidth="1"/>
    <col min="11270" max="11270" width="6" style="588" customWidth="1"/>
    <col min="11271" max="11271" width="11.5703125" style="588" customWidth="1"/>
    <col min="11272" max="11272" width="13.42578125" style="588" customWidth="1"/>
    <col min="11273" max="11273" width="13.85546875" style="588" customWidth="1"/>
    <col min="11274" max="11520" width="9.140625" style="588"/>
    <col min="11521" max="11521" width="13" style="588" customWidth="1"/>
    <col min="11522" max="11522" width="9.140625" style="588"/>
    <col min="11523" max="11523" width="13" style="588" customWidth="1"/>
    <col min="11524" max="11524" width="29.7109375" style="588" customWidth="1"/>
    <col min="11525" max="11525" width="7.7109375" style="588" customWidth="1"/>
    <col min="11526" max="11526" width="6" style="588" customWidth="1"/>
    <col min="11527" max="11527" width="11.5703125" style="588" customWidth="1"/>
    <col min="11528" max="11528" width="13.42578125" style="588" customWidth="1"/>
    <col min="11529" max="11529" width="13.85546875" style="588" customWidth="1"/>
    <col min="11530" max="11776" width="9.140625" style="588"/>
    <col min="11777" max="11777" width="13" style="588" customWidth="1"/>
    <col min="11778" max="11778" width="9.140625" style="588"/>
    <col min="11779" max="11779" width="13" style="588" customWidth="1"/>
    <col min="11780" max="11780" width="29.7109375" style="588" customWidth="1"/>
    <col min="11781" max="11781" width="7.7109375" style="588" customWidth="1"/>
    <col min="11782" max="11782" width="6" style="588" customWidth="1"/>
    <col min="11783" max="11783" width="11.5703125" style="588" customWidth="1"/>
    <col min="11784" max="11784" width="13.42578125" style="588" customWidth="1"/>
    <col min="11785" max="11785" width="13.85546875" style="588" customWidth="1"/>
    <col min="11786" max="12032" width="9.140625" style="588"/>
    <col min="12033" max="12033" width="13" style="588" customWidth="1"/>
    <col min="12034" max="12034" width="9.140625" style="588"/>
    <col min="12035" max="12035" width="13" style="588" customWidth="1"/>
    <col min="12036" max="12036" width="29.7109375" style="588" customWidth="1"/>
    <col min="12037" max="12037" width="7.7109375" style="588" customWidth="1"/>
    <col min="12038" max="12038" width="6" style="588" customWidth="1"/>
    <col min="12039" max="12039" width="11.5703125" style="588" customWidth="1"/>
    <col min="12040" max="12040" width="13.42578125" style="588" customWidth="1"/>
    <col min="12041" max="12041" width="13.85546875" style="588" customWidth="1"/>
    <col min="12042" max="12288" width="9.140625" style="588"/>
    <col min="12289" max="12289" width="13" style="588" customWidth="1"/>
    <col min="12290" max="12290" width="9.140625" style="588"/>
    <col min="12291" max="12291" width="13" style="588" customWidth="1"/>
    <col min="12292" max="12292" width="29.7109375" style="588" customWidth="1"/>
    <col min="12293" max="12293" width="7.7109375" style="588" customWidth="1"/>
    <col min="12294" max="12294" width="6" style="588" customWidth="1"/>
    <col min="12295" max="12295" width="11.5703125" style="588" customWidth="1"/>
    <col min="12296" max="12296" width="13.42578125" style="588" customWidth="1"/>
    <col min="12297" max="12297" width="13.85546875" style="588" customWidth="1"/>
    <col min="12298" max="12544" width="9.140625" style="588"/>
    <col min="12545" max="12545" width="13" style="588" customWidth="1"/>
    <col min="12546" max="12546" width="9.140625" style="588"/>
    <col min="12547" max="12547" width="13" style="588" customWidth="1"/>
    <col min="12548" max="12548" width="29.7109375" style="588" customWidth="1"/>
    <col min="12549" max="12549" width="7.7109375" style="588" customWidth="1"/>
    <col min="12550" max="12550" width="6" style="588" customWidth="1"/>
    <col min="12551" max="12551" width="11.5703125" style="588" customWidth="1"/>
    <col min="12552" max="12552" width="13.42578125" style="588" customWidth="1"/>
    <col min="12553" max="12553" width="13.85546875" style="588" customWidth="1"/>
    <col min="12554" max="12800" width="9.140625" style="588"/>
    <col min="12801" max="12801" width="13" style="588" customWidth="1"/>
    <col min="12802" max="12802" width="9.140625" style="588"/>
    <col min="12803" max="12803" width="13" style="588" customWidth="1"/>
    <col min="12804" max="12804" width="29.7109375" style="588" customWidth="1"/>
    <col min="12805" max="12805" width="7.7109375" style="588" customWidth="1"/>
    <col min="12806" max="12806" width="6" style="588" customWidth="1"/>
    <col min="12807" max="12807" width="11.5703125" style="588" customWidth="1"/>
    <col min="12808" max="12808" width="13.42578125" style="588" customWidth="1"/>
    <col min="12809" max="12809" width="13.85546875" style="588" customWidth="1"/>
    <col min="12810" max="13056" width="9.140625" style="588"/>
    <col min="13057" max="13057" width="13" style="588" customWidth="1"/>
    <col min="13058" max="13058" width="9.140625" style="588"/>
    <col min="13059" max="13059" width="13" style="588" customWidth="1"/>
    <col min="13060" max="13060" width="29.7109375" style="588" customWidth="1"/>
    <col min="13061" max="13061" width="7.7109375" style="588" customWidth="1"/>
    <col min="13062" max="13062" width="6" style="588" customWidth="1"/>
    <col min="13063" max="13063" width="11.5703125" style="588" customWidth="1"/>
    <col min="13064" max="13064" width="13.42578125" style="588" customWidth="1"/>
    <col min="13065" max="13065" width="13.85546875" style="588" customWidth="1"/>
    <col min="13066" max="13312" width="9.140625" style="588"/>
    <col min="13313" max="13313" width="13" style="588" customWidth="1"/>
    <col min="13314" max="13314" width="9.140625" style="588"/>
    <col min="13315" max="13315" width="13" style="588" customWidth="1"/>
    <col min="13316" max="13316" width="29.7109375" style="588" customWidth="1"/>
    <col min="13317" max="13317" width="7.7109375" style="588" customWidth="1"/>
    <col min="13318" max="13318" width="6" style="588" customWidth="1"/>
    <col min="13319" max="13319" width="11.5703125" style="588" customWidth="1"/>
    <col min="13320" max="13320" width="13.42578125" style="588" customWidth="1"/>
    <col min="13321" max="13321" width="13.85546875" style="588" customWidth="1"/>
    <col min="13322" max="13568" width="9.140625" style="588"/>
    <col min="13569" max="13569" width="13" style="588" customWidth="1"/>
    <col min="13570" max="13570" width="9.140625" style="588"/>
    <col min="13571" max="13571" width="13" style="588" customWidth="1"/>
    <col min="13572" max="13572" width="29.7109375" style="588" customWidth="1"/>
    <col min="13573" max="13573" width="7.7109375" style="588" customWidth="1"/>
    <col min="13574" max="13574" width="6" style="588" customWidth="1"/>
    <col min="13575" max="13575" width="11.5703125" style="588" customWidth="1"/>
    <col min="13576" max="13576" width="13.42578125" style="588" customWidth="1"/>
    <col min="13577" max="13577" width="13.85546875" style="588" customWidth="1"/>
    <col min="13578" max="13824" width="9.140625" style="588"/>
    <col min="13825" max="13825" width="13" style="588" customWidth="1"/>
    <col min="13826" max="13826" width="9.140625" style="588"/>
    <col min="13827" max="13827" width="13" style="588" customWidth="1"/>
    <col min="13828" max="13828" width="29.7109375" style="588" customWidth="1"/>
    <col min="13829" max="13829" width="7.7109375" style="588" customWidth="1"/>
    <col min="13830" max="13830" width="6" style="588" customWidth="1"/>
    <col min="13831" max="13831" width="11.5703125" style="588" customWidth="1"/>
    <col min="13832" max="13832" width="13.42578125" style="588" customWidth="1"/>
    <col min="13833" max="13833" width="13.85546875" style="588" customWidth="1"/>
    <col min="13834" max="14080" width="9.140625" style="588"/>
    <col min="14081" max="14081" width="13" style="588" customWidth="1"/>
    <col min="14082" max="14082" width="9.140625" style="588"/>
    <col min="14083" max="14083" width="13" style="588" customWidth="1"/>
    <col min="14084" max="14084" width="29.7109375" style="588" customWidth="1"/>
    <col min="14085" max="14085" width="7.7109375" style="588" customWidth="1"/>
    <col min="14086" max="14086" width="6" style="588" customWidth="1"/>
    <col min="14087" max="14087" width="11.5703125" style="588" customWidth="1"/>
    <col min="14088" max="14088" width="13.42578125" style="588" customWidth="1"/>
    <col min="14089" max="14089" width="13.85546875" style="588" customWidth="1"/>
    <col min="14090" max="14336" width="9.140625" style="588"/>
    <col min="14337" max="14337" width="13" style="588" customWidth="1"/>
    <col min="14338" max="14338" width="9.140625" style="588"/>
    <col min="14339" max="14339" width="13" style="588" customWidth="1"/>
    <col min="14340" max="14340" width="29.7109375" style="588" customWidth="1"/>
    <col min="14341" max="14341" width="7.7109375" style="588" customWidth="1"/>
    <col min="14342" max="14342" width="6" style="588" customWidth="1"/>
    <col min="14343" max="14343" width="11.5703125" style="588" customWidth="1"/>
    <col min="14344" max="14344" width="13.42578125" style="588" customWidth="1"/>
    <col min="14345" max="14345" width="13.85546875" style="588" customWidth="1"/>
    <col min="14346" max="14592" width="9.140625" style="588"/>
    <col min="14593" max="14593" width="13" style="588" customWidth="1"/>
    <col min="14594" max="14594" width="9.140625" style="588"/>
    <col min="14595" max="14595" width="13" style="588" customWidth="1"/>
    <col min="14596" max="14596" width="29.7109375" style="588" customWidth="1"/>
    <col min="14597" max="14597" width="7.7109375" style="588" customWidth="1"/>
    <col min="14598" max="14598" width="6" style="588" customWidth="1"/>
    <col min="14599" max="14599" width="11.5703125" style="588" customWidth="1"/>
    <col min="14600" max="14600" width="13.42578125" style="588" customWidth="1"/>
    <col min="14601" max="14601" width="13.85546875" style="588" customWidth="1"/>
    <col min="14602" max="14848" width="9.140625" style="588"/>
    <col min="14849" max="14849" width="13" style="588" customWidth="1"/>
    <col min="14850" max="14850" width="9.140625" style="588"/>
    <col min="14851" max="14851" width="13" style="588" customWidth="1"/>
    <col min="14852" max="14852" width="29.7109375" style="588" customWidth="1"/>
    <col min="14853" max="14853" width="7.7109375" style="588" customWidth="1"/>
    <col min="14854" max="14854" width="6" style="588" customWidth="1"/>
    <col min="14855" max="14855" width="11.5703125" style="588" customWidth="1"/>
    <col min="14856" max="14856" width="13.42578125" style="588" customWidth="1"/>
    <col min="14857" max="14857" width="13.85546875" style="588" customWidth="1"/>
    <col min="14858" max="15104" width="9.140625" style="588"/>
    <col min="15105" max="15105" width="13" style="588" customWidth="1"/>
    <col min="15106" max="15106" width="9.140625" style="588"/>
    <col min="15107" max="15107" width="13" style="588" customWidth="1"/>
    <col min="15108" max="15108" width="29.7109375" style="588" customWidth="1"/>
    <col min="15109" max="15109" width="7.7109375" style="588" customWidth="1"/>
    <col min="15110" max="15110" width="6" style="588" customWidth="1"/>
    <col min="15111" max="15111" width="11.5703125" style="588" customWidth="1"/>
    <col min="15112" max="15112" width="13.42578125" style="588" customWidth="1"/>
    <col min="15113" max="15113" width="13.85546875" style="588" customWidth="1"/>
    <col min="15114" max="15360" width="9.140625" style="588"/>
    <col min="15361" max="15361" width="13" style="588" customWidth="1"/>
    <col min="15362" max="15362" width="9.140625" style="588"/>
    <col min="15363" max="15363" width="13" style="588" customWidth="1"/>
    <col min="15364" max="15364" width="29.7109375" style="588" customWidth="1"/>
    <col min="15365" max="15365" width="7.7109375" style="588" customWidth="1"/>
    <col min="15366" max="15366" width="6" style="588" customWidth="1"/>
    <col min="15367" max="15367" width="11.5703125" style="588" customWidth="1"/>
    <col min="15368" max="15368" width="13.42578125" style="588" customWidth="1"/>
    <col min="15369" max="15369" width="13.85546875" style="588" customWidth="1"/>
    <col min="15370" max="15616" width="9.140625" style="588"/>
    <col min="15617" max="15617" width="13" style="588" customWidth="1"/>
    <col min="15618" max="15618" width="9.140625" style="588"/>
    <col min="15619" max="15619" width="13" style="588" customWidth="1"/>
    <col min="15620" max="15620" width="29.7109375" style="588" customWidth="1"/>
    <col min="15621" max="15621" width="7.7109375" style="588" customWidth="1"/>
    <col min="15622" max="15622" width="6" style="588" customWidth="1"/>
    <col min="15623" max="15623" width="11.5703125" style="588" customWidth="1"/>
    <col min="15624" max="15624" width="13.42578125" style="588" customWidth="1"/>
    <col min="15625" max="15625" width="13.85546875" style="588" customWidth="1"/>
    <col min="15626" max="15872" width="9.140625" style="588"/>
    <col min="15873" max="15873" width="13" style="588" customWidth="1"/>
    <col min="15874" max="15874" width="9.140625" style="588"/>
    <col min="15875" max="15875" width="13" style="588" customWidth="1"/>
    <col min="15876" max="15876" width="29.7109375" style="588" customWidth="1"/>
    <col min="15877" max="15877" width="7.7109375" style="588" customWidth="1"/>
    <col min="15878" max="15878" width="6" style="588" customWidth="1"/>
    <col min="15879" max="15879" width="11.5703125" style="588" customWidth="1"/>
    <col min="15880" max="15880" width="13.42578125" style="588" customWidth="1"/>
    <col min="15881" max="15881" width="13.85546875" style="588" customWidth="1"/>
    <col min="15882" max="16128" width="9.140625" style="588"/>
    <col min="16129" max="16129" width="13" style="588" customWidth="1"/>
    <col min="16130" max="16130" width="9.140625" style="588"/>
    <col min="16131" max="16131" width="13" style="588" customWidth="1"/>
    <col min="16132" max="16132" width="29.7109375" style="588" customWidth="1"/>
    <col min="16133" max="16133" width="7.7109375" style="588" customWidth="1"/>
    <col min="16134" max="16134" width="6" style="588" customWidth="1"/>
    <col min="16135" max="16135" width="11.5703125" style="588" customWidth="1"/>
    <col min="16136" max="16136" width="13.42578125" style="588" customWidth="1"/>
    <col min="16137" max="16137" width="13.85546875" style="588" customWidth="1"/>
    <col min="16138" max="16384" width="9.140625" style="588"/>
  </cols>
  <sheetData>
    <row r="1" spans="1:14">
      <c r="A1" s="587" t="str">
        <f>TH!A1</f>
        <v>Đơn vị: CÔNG TY TNHH SX TM KIM DUNG PHÁT</v>
      </c>
      <c r="F1" s="1009" t="s">
        <v>342</v>
      </c>
      <c r="G1" s="1009"/>
      <c r="H1" s="1009"/>
      <c r="I1" s="1009"/>
    </row>
    <row r="2" spans="1:14">
      <c r="A2" s="588" t="str">
        <f>TH!A2</f>
        <v>Địa chỉ: 1A227/1 Ấp 1, Phạm Văn Hai, Bình Chánh, TPHCM</v>
      </c>
      <c r="F2" s="100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8"/>
      <c r="H2" s="1008"/>
      <c r="I2" s="1008"/>
    </row>
    <row r="3" spans="1:14">
      <c r="F3" s="1008"/>
      <c r="G3" s="1008"/>
      <c r="H3" s="1008"/>
      <c r="I3" s="1008"/>
    </row>
    <row r="4" spans="1:14">
      <c r="H4" s="589"/>
      <c r="I4" s="589"/>
    </row>
    <row r="5" spans="1:14" ht="26.25" customHeight="1">
      <c r="B5" s="590"/>
      <c r="C5" s="590"/>
      <c r="D5" s="591" t="s">
        <v>343</v>
      </c>
      <c r="E5" s="590"/>
      <c r="F5" s="590"/>
      <c r="G5" s="590"/>
      <c r="H5" s="590"/>
      <c r="I5" s="590"/>
      <c r="J5" s="590"/>
      <c r="K5" s="590"/>
    </row>
    <row r="6" spans="1:14">
      <c r="B6" s="592"/>
      <c r="C6" s="592"/>
      <c r="D6" s="593" t="str">
        <f ca="1">$K$9&amp;"   -   Năm:  " &amp;YEAR(A11)</f>
        <v>Quý III   -   Năm:  2016</v>
      </c>
      <c r="E6" s="592"/>
      <c r="F6" s="592"/>
      <c r="G6" s="592"/>
      <c r="H6" s="592"/>
      <c r="I6" s="592"/>
      <c r="J6" s="592"/>
      <c r="K6" s="592"/>
    </row>
    <row r="7" spans="1:14">
      <c r="A7" s="594"/>
      <c r="B7" s="594"/>
      <c r="C7" s="594"/>
      <c r="D7" s="594"/>
      <c r="E7" s="594"/>
      <c r="F7" s="594"/>
      <c r="G7" s="594"/>
      <c r="H7" s="1012" t="s">
        <v>123</v>
      </c>
      <c r="I7" s="1012"/>
      <c r="J7" s="594"/>
      <c r="K7" s="594"/>
      <c r="M7" s="1011" t="s">
        <v>331</v>
      </c>
      <c r="N7" s="1011"/>
    </row>
    <row r="8" spans="1:14" s="767" customFormat="1" ht="23.25" customHeight="1" thickBot="1">
      <c r="A8" s="1013" t="s">
        <v>344</v>
      </c>
      <c r="B8" s="1015" t="s">
        <v>1</v>
      </c>
      <c r="C8" s="1016"/>
      <c r="D8" s="1017" t="s">
        <v>0</v>
      </c>
      <c r="E8" s="1013" t="s">
        <v>345</v>
      </c>
      <c r="F8" s="1010" t="s">
        <v>94</v>
      </c>
      <c r="G8" s="1010"/>
      <c r="H8" s="1015" t="s">
        <v>21</v>
      </c>
      <c r="I8" s="1016"/>
      <c r="J8" s="766"/>
      <c r="K8" s="766"/>
      <c r="M8" s="768">
        <f>IF(K9="Quý I",1,IF(K9="Quý II",4,IF(K9="Quý III",7,IF(K9="Quý IV",10,""))))</f>
        <v>7</v>
      </c>
      <c r="N8" s="768">
        <f>IF(K9="Quý I",3,IF(K9="Quý II",6,IF(K9="Quý III",9,IF(K9="Quý IV",12,""))))</f>
        <v>9</v>
      </c>
    </row>
    <row r="9" spans="1:14" s="767" customFormat="1" ht="28.5" customHeight="1" thickBot="1">
      <c r="A9" s="1014"/>
      <c r="B9" s="769" t="s">
        <v>15</v>
      </c>
      <c r="C9" s="769" t="s">
        <v>32</v>
      </c>
      <c r="D9" s="1018"/>
      <c r="E9" s="1014"/>
      <c r="F9" s="770" t="s">
        <v>22</v>
      </c>
      <c r="G9" s="770" t="s">
        <v>23</v>
      </c>
      <c r="H9" s="769" t="s">
        <v>346</v>
      </c>
      <c r="I9" s="769" t="s">
        <v>23</v>
      </c>
      <c r="K9" s="689" t="s">
        <v>410</v>
      </c>
    </row>
    <row r="10" spans="1:14" s="767" customFormat="1" ht="21" customHeight="1">
      <c r="A10" s="771"/>
      <c r="B10" s="771"/>
      <c r="C10" s="771"/>
      <c r="D10" s="772" t="s">
        <v>349</v>
      </c>
      <c r="E10" s="773"/>
      <c r="F10" s="771"/>
      <c r="G10" s="771"/>
      <c r="H10" s="774">
        <f>SUMIF(_M,"&lt;"&amp;$M$8,TH)</f>
        <v>14314131399</v>
      </c>
      <c r="I10" s="774">
        <f>SUMIF(_M,"&lt;"&amp;$M$8,TH)</f>
        <v>14314131399</v>
      </c>
    </row>
    <row r="11" spans="1:14" s="767" customFormat="1" ht="21" customHeight="1">
      <c r="A11" s="775">
        <f ca="1">IF(ROWS($1:1)&gt;COUNT(Dong6),"",OFFSET(TH!C$1,SMALL(Dong6,ROWS($1:1)),))</f>
        <v>42552</v>
      </c>
      <c r="B11" s="776" t="str">
        <f ca="1">IF(ROWS($1:1)&gt;COUNT(Dong6),"",OFFSET(TH!D$1,SMALL(Dong6,ROWS($1:1)),))</f>
        <v>CTGS</v>
      </c>
      <c r="C11" s="775">
        <f ca="1">IF(ROWS($1:1)&gt;COUNT(Dong6),"",OFFSET(TH!E$1,SMALL(Dong6,ROWS($1:1)),))</f>
        <v>42552</v>
      </c>
      <c r="D11" s="777" t="str">
        <f ca="1">IF(ROWS($1:1)&gt;COUNT(Dong6),"",OFFSET(TH!F$1,SMALL(Dong6,ROWS($1:1)),))</f>
        <v>Trích khấu hao TSCĐ Hữu hình</v>
      </c>
      <c r="E11" s="776">
        <f t="shared" ref="E11:E40" ca="1" si="0">IF(D11&lt;&gt;"",ROW()-10,"")</f>
        <v>1</v>
      </c>
      <c r="F11" s="778" t="str">
        <f ca="1">IF(ROWS($1:1)&gt;COUNT(Dong6),"",OFFSET(TH!L$1,SMALL(Dong6,ROWS($1:1)),))</f>
        <v>154</v>
      </c>
      <c r="G11" s="778" t="str">
        <f ca="1">IF(ROWS($1:1)&gt;COUNT(Dong6),"",OFFSET(TH!M$1,SMALL(Dong6,ROWS($1:1)),))</f>
        <v>2141</v>
      </c>
      <c r="H11" s="674">
        <f ca="1">IF(ROWS($1:1)&gt;COUNT(Dong6),"",OFFSET(TH!K$1,SMALL(Dong6,ROWS($1:1)),))</f>
        <v>6250000</v>
      </c>
      <c r="I11" s="674">
        <f ca="1">IF(ROWS($1:1)&gt;COUNT(Dong6),"",OFFSET(TH!K$1,SMALL(Dong6,ROWS($1:1)),))</f>
        <v>6250000</v>
      </c>
    </row>
    <row r="12" spans="1:14" s="767" customFormat="1" ht="21" customHeight="1">
      <c r="A12" s="775">
        <f ca="1">IF(ROWS($1:2)&gt;COUNT(Dong6),"",OFFSET(TH!C$1,SMALL(Dong6,ROWS($1:2)),))</f>
        <v>42582</v>
      </c>
      <c r="B12" s="776" t="str">
        <f ca="1">IF(ROWS($1:2)&gt;COUNT(Dong6),"",OFFSET(TH!D$1,SMALL(Dong6,ROWS($1:2)),))</f>
        <v>CTGS</v>
      </c>
      <c r="C12" s="775">
        <f ca="1">IF(ROWS($1:2)&gt;COUNT(Dong6),"",OFFSET(TH!E$1,SMALL(Dong6,ROWS($1:2)),))</f>
        <v>42582</v>
      </c>
      <c r="D12" s="777" t="str">
        <f ca="1">IF(ROWS($1:2)&gt;COUNT(Dong6),"",OFFSET(TH!F$1,SMALL(Dong6,ROWS($1:2)),))</f>
        <v>Tiền lương BP Văn phòng</v>
      </c>
      <c r="E12" s="776">
        <f t="shared" ca="1" si="0"/>
        <v>2</v>
      </c>
      <c r="F12" s="778" t="str">
        <f ca="1">IF(ROWS($1:2)&gt;COUNT(Dong6),"",OFFSET(TH!L$1,SMALL(Dong6,ROWS($1:2)),))</f>
        <v>642</v>
      </c>
      <c r="G12" s="778" t="str">
        <f ca="1">IF(ROWS($1:2)&gt;COUNT(Dong6),"",OFFSET(TH!M$1,SMALL(Dong6,ROWS($1:2)),))</f>
        <v>3341</v>
      </c>
      <c r="H12" s="674">
        <f ca="1">IF(ROWS($1:2)&gt;COUNT(Dong6),"",OFFSET(TH!K$1,SMALL(Dong6,ROWS($1:2)),))</f>
        <v>5390000</v>
      </c>
      <c r="I12" s="674">
        <f ca="1">IF(ROWS($1:2)&gt;COUNT(Dong6),"",OFFSET(TH!K$1,SMALL(Dong6,ROWS($1:2)),))</f>
        <v>5390000</v>
      </c>
    </row>
    <row r="13" spans="1:14" s="767" customFormat="1" ht="21" customHeight="1">
      <c r="A13" s="775">
        <f ca="1">IF(ROWS($1:3)&gt;COUNT(Dong6),"",OFFSET(TH!C$1,SMALL(Dong6,ROWS($1:3)),))</f>
        <v>42582</v>
      </c>
      <c r="B13" s="776" t="str">
        <f ca="1">IF(ROWS($1:3)&gt;COUNT(Dong6),"",OFFSET(TH!D$1,SMALL(Dong6,ROWS($1:3)),))</f>
        <v>CTGS</v>
      </c>
      <c r="C13" s="775">
        <f ca="1">IF(ROWS($1:3)&gt;COUNT(Dong6),"",OFFSET(TH!E$1,SMALL(Dong6,ROWS($1:3)),))</f>
        <v>42582</v>
      </c>
      <c r="D13" s="777" t="str">
        <f ca="1">IF(ROWS($1:3)&gt;COUNT(Dong6),"",OFFSET(TH!F$1,SMALL(Dong6,ROWS($1:3)),))</f>
        <v>Tiền lương BP Phân Xưởng &amp; CN</v>
      </c>
      <c r="E13" s="776">
        <f t="shared" ca="1" si="0"/>
        <v>3</v>
      </c>
      <c r="F13" s="778" t="str">
        <f ca="1">IF(ROWS($1:3)&gt;COUNT(Dong6),"",OFFSET(TH!L$1,SMALL(Dong6,ROWS($1:3)),))</f>
        <v>154</v>
      </c>
      <c r="G13" s="778" t="str">
        <f ca="1">IF(ROWS($1:3)&gt;COUNT(Dong6),"",OFFSET(TH!M$1,SMALL(Dong6,ROWS($1:3)),))</f>
        <v>3341</v>
      </c>
      <c r="H13" s="674">
        <f ca="1">IF(ROWS($1:3)&gt;COUNT(Dong6),"",OFFSET(TH!K$1,SMALL(Dong6,ROWS($1:3)),))</f>
        <v>16170000</v>
      </c>
      <c r="I13" s="674">
        <f ca="1">IF(ROWS($1:3)&gt;COUNT(Dong6),"",OFFSET(TH!K$1,SMALL(Dong6,ROWS($1:3)),))</f>
        <v>16170000</v>
      </c>
    </row>
    <row r="14" spans="1:14" s="767" customFormat="1" ht="21" customHeight="1">
      <c r="A14" s="775">
        <f ca="1">IF(ROWS($1:4)&gt;COUNT(Dong6),"",OFFSET(TH!C$1,SMALL(Dong6,ROWS($1:4)),))</f>
        <v>42582</v>
      </c>
      <c r="B14" s="776" t="str">
        <f ca="1">IF(ROWS($1:4)&gt;COUNT(Dong6),"",OFFSET(TH!D$1,SMALL(Dong6,ROWS($1:4)),))</f>
        <v>CTGS</v>
      </c>
      <c r="C14" s="775">
        <f ca="1">IF(ROWS($1:4)&gt;COUNT(Dong6),"",OFFSET(TH!E$1,SMALL(Dong6,ROWS($1:4)),))</f>
        <v>42582</v>
      </c>
      <c r="D14" s="777" t="str">
        <f ca="1">IF(ROWS($1:4)&gt;COUNT(Dong6),"",OFFSET(TH!F$1,SMALL(Dong6,ROWS($1:4)),))</f>
        <v>Thanh toán tiền lương tháng 7/2016</v>
      </c>
      <c r="E14" s="776">
        <f t="shared" ca="1" si="0"/>
        <v>4</v>
      </c>
      <c r="F14" s="778" t="str">
        <f ca="1">IF(ROWS($1:4)&gt;COUNT(Dong6),"",OFFSET(TH!L$1,SMALL(Dong6,ROWS($1:4)),))</f>
        <v>3341</v>
      </c>
      <c r="G14" s="778" t="str">
        <f ca="1">IF(ROWS($1:4)&gt;COUNT(Dong6),"",OFFSET(TH!M$1,SMALL(Dong6,ROWS($1:4)),))</f>
        <v>1111</v>
      </c>
      <c r="H14" s="674">
        <f ca="1">IF(ROWS($1:4)&gt;COUNT(Dong6),"",OFFSET(TH!K$1,SMALL(Dong6,ROWS($1:4)),))</f>
        <v>21560000</v>
      </c>
      <c r="I14" s="674">
        <f ca="1">IF(ROWS($1:4)&gt;COUNT(Dong6),"",OFFSET(TH!K$1,SMALL(Dong6,ROWS($1:4)),))</f>
        <v>21560000</v>
      </c>
    </row>
    <row r="15" spans="1:14" s="767" customFormat="1" ht="21" customHeight="1">
      <c r="A15" s="775">
        <f ca="1">IF(ROWS($1:5)&gt;COUNT(Dong6),"",OFFSET(TH!C$1,SMALL(Dong6,ROWS($1:5)),))</f>
        <v>42613</v>
      </c>
      <c r="B15" s="776" t="str">
        <f ca="1">IF(ROWS($1:5)&gt;COUNT(Dong6),"",OFFSET(TH!D$1,SMALL(Dong6,ROWS($1:5)),))</f>
        <v>CTGS</v>
      </c>
      <c r="C15" s="775">
        <f ca="1">IF(ROWS($1:5)&gt;COUNT(Dong6),"",OFFSET(TH!E$1,SMALL(Dong6,ROWS($1:5)),))</f>
        <v>42613</v>
      </c>
      <c r="D15" s="777" t="str">
        <f ca="1">IF(ROWS($1:5)&gt;COUNT(Dong6),"",OFFSET(TH!F$1,SMALL(Dong6,ROWS($1:5)),))</f>
        <v>Tiền lương BP Văn phòng</v>
      </c>
      <c r="E15" s="776">
        <f t="shared" ca="1" si="0"/>
        <v>5</v>
      </c>
      <c r="F15" s="778" t="str">
        <f ca="1">IF(ROWS($1:5)&gt;COUNT(Dong6),"",OFFSET(TH!L$1,SMALL(Dong6,ROWS($1:5)),))</f>
        <v>642</v>
      </c>
      <c r="G15" s="778" t="str">
        <f ca="1">IF(ROWS($1:5)&gt;COUNT(Dong6),"",OFFSET(TH!M$1,SMALL(Dong6,ROWS($1:5)),))</f>
        <v>3341</v>
      </c>
      <c r="H15" s="674">
        <f ca="1">IF(ROWS($1:5)&gt;COUNT(Dong6),"",OFFSET(TH!K$1,SMALL(Dong6,ROWS($1:5)),))</f>
        <v>5405000</v>
      </c>
      <c r="I15" s="674">
        <f ca="1">IF(ROWS($1:5)&gt;COUNT(Dong6),"",OFFSET(TH!K$1,SMALL(Dong6,ROWS($1:5)),))</f>
        <v>5405000</v>
      </c>
    </row>
    <row r="16" spans="1:14" s="767" customFormat="1" ht="21" customHeight="1">
      <c r="A16" s="775">
        <f ca="1">IF(ROWS($1:6)&gt;COUNT(Dong6),"",OFFSET(TH!C$1,SMALL(Dong6,ROWS($1:6)),))</f>
        <v>42613</v>
      </c>
      <c r="B16" s="776" t="str">
        <f ca="1">IF(ROWS($1:6)&gt;COUNT(Dong6),"",OFFSET(TH!D$1,SMALL(Dong6,ROWS($1:6)),))</f>
        <v>CTGS</v>
      </c>
      <c r="C16" s="775">
        <f ca="1">IF(ROWS($1:6)&gt;COUNT(Dong6),"",OFFSET(TH!E$1,SMALL(Dong6,ROWS($1:6)),))</f>
        <v>42613</v>
      </c>
      <c r="D16" s="777" t="str">
        <f ca="1">IF(ROWS($1:6)&gt;COUNT(Dong6),"",OFFSET(TH!F$1,SMALL(Dong6,ROWS($1:6)),))</f>
        <v>Tiền lương BP Phân Xưởng &amp; CN</v>
      </c>
      <c r="E16" s="776">
        <f t="shared" ca="1" si="0"/>
        <v>6</v>
      </c>
      <c r="F16" s="778" t="str">
        <f ca="1">IF(ROWS($1:6)&gt;COUNT(Dong6),"",OFFSET(TH!L$1,SMALL(Dong6,ROWS($1:6)),))</f>
        <v>154</v>
      </c>
      <c r="G16" s="778" t="str">
        <f ca="1">IF(ROWS($1:6)&gt;COUNT(Dong6),"",OFFSET(TH!M$1,SMALL(Dong6,ROWS($1:6)),))</f>
        <v>3341</v>
      </c>
      <c r="H16" s="674">
        <f ca="1">IF(ROWS($1:6)&gt;COUNT(Dong6),"",OFFSET(TH!K$1,SMALL(Dong6,ROWS($1:6)),))</f>
        <v>16215000</v>
      </c>
      <c r="I16" s="674">
        <f ca="1">IF(ROWS($1:6)&gt;COUNT(Dong6),"",OFFSET(TH!K$1,SMALL(Dong6,ROWS($1:6)),))</f>
        <v>16215000</v>
      </c>
    </row>
    <row r="17" spans="1:9" s="767" customFormat="1" ht="21" customHeight="1">
      <c r="A17" s="775">
        <f ca="1">IF(ROWS($1:7)&gt;COUNT(Dong6),"",OFFSET(TH!C$1,SMALL(Dong6,ROWS($1:7)),))</f>
        <v>42613</v>
      </c>
      <c r="B17" s="776" t="str">
        <f ca="1">IF(ROWS($1:7)&gt;COUNT(Dong6),"",OFFSET(TH!D$1,SMALL(Dong6,ROWS($1:7)),))</f>
        <v>CTGS</v>
      </c>
      <c r="C17" s="775">
        <f ca="1">IF(ROWS($1:7)&gt;COUNT(Dong6),"",OFFSET(TH!E$1,SMALL(Dong6,ROWS($1:7)),))</f>
        <v>42613</v>
      </c>
      <c r="D17" s="777" t="str">
        <f ca="1">IF(ROWS($1:7)&gt;COUNT(Dong6),"",OFFSET(TH!F$1,SMALL(Dong6,ROWS($1:7)),))</f>
        <v>Thanh toán tiền lương tháng 8/2016</v>
      </c>
      <c r="E17" s="776">
        <f t="shared" ca="1" si="0"/>
        <v>7</v>
      </c>
      <c r="F17" s="778" t="str">
        <f ca="1">IF(ROWS($1:7)&gt;COUNT(Dong6),"",OFFSET(TH!L$1,SMALL(Dong6,ROWS($1:7)),))</f>
        <v>3341</v>
      </c>
      <c r="G17" s="778" t="str">
        <f ca="1">IF(ROWS($1:7)&gt;COUNT(Dong6),"",OFFSET(TH!M$1,SMALL(Dong6,ROWS($1:7)),))</f>
        <v>1111</v>
      </c>
      <c r="H17" s="674">
        <f ca="1">IF(ROWS($1:7)&gt;COUNT(Dong6),"",OFFSET(TH!K$1,SMALL(Dong6,ROWS($1:7)),))</f>
        <v>21620000</v>
      </c>
      <c r="I17" s="674">
        <f ca="1">IF(ROWS($1:7)&gt;COUNT(Dong6),"",OFFSET(TH!K$1,SMALL(Dong6,ROWS($1:7)),))</f>
        <v>21620000</v>
      </c>
    </row>
    <row r="18" spans="1:9" s="767" customFormat="1" ht="21" customHeight="1">
      <c r="A18" s="775">
        <f ca="1">IF(ROWS($1:8)&gt;COUNT(Dong6),"",OFFSET(TH!C$1,SMALL(Dong6,ROWS($1:8)),))</f>
        <v>42643</v>
      </c>
      <c r="B18" s="776" t="str">
        <f ca="1">IF(ROWS($1:8)&gt;COUNT(Dong6),"",OFFSET(TH!D$1,SMALL(Dong6,ROWS($1:8)),))</f>
        <v>CTGS</v>
      </c>
      <c r="C18" s="775">
        <f ca="1">IF(ROWS($1:8)&gt;COUNT(Dong6),"",OFFSET(TH!E$1,SMALL(Dong6,ROWS($1:8)),))</f>
        <v>42643</v>
      </c>
      <c r="D18" s="777" t="str">
        <f ca="1">IF(ROWS($1:8)&gt;COUNT(Dong6),"",OFFSET(TH!F$1,SMALL(Dong6,ROWS($1:8)),))</f>
        <v>Tiền lương BP Văn phòng</v>
      </c>
      <c r="E18" s="776">
        <f t="shared" ca="1" si="0"/>
        <v>8</v>
      </c>
      <c r="F18" s="778" t="str">
        <f ca="1">IF(ROWS($1:8)&gt;COUNT(Dong6),"",OFFSET(TH!L$1,SMALL(Dong6,ROWS($1:8)),))</f>
        <v>642</v>
      </c>
      <c r="G18" s="778" t="str">
        <f ca="1">IF(ROWS($1:8)&gt;COUNT(Dong6),"",OFFSET(TH!M$1,SMALL(Dong6,ROWS($1:8)),))</f>
        <v>3341</v>
      </c>
      <c r="H18" s="674">
        <f ca="1">IF(ROWS($1:8)&gt;COUNT(Dong6),"",OFFSET(TH!K$1,SMALL(Dong6,ROWS($1:8)),))</f>
        <v>5375000</v>
      </c>
      <c r="I18" s="674">
        <f ca="1">IF(ROWS($1:8)&gt;COUNT(Dong6),"",OFFSET(TH!K$1,SMALL(Dong6,ROWS($1:8)),))</f>
        <v>5375000</v>
      </c>
    </row>
    <row r="19" spans="1:9" s="767" customFormat="1" ht="21" customHeight="1">
      <c r="A19" s="775">
        <f ca="1">IF(ROWS($1:9)&gt;COUNT(Dong6),"",OFFSET(TH!C$1,SMALL(Dong6,ROWS($1:9)),))</f>
        <v>42643</v>
      </c>
      <c r="B19" s="776" t="str">
        <f ca="1">IF(ROWS($1:9)&gt;COUNT(Dong6),"",OFFSET(TH!D$1,SMALL(Dong6,ROWS($1:9)),))</f>
        <v>CTGS</v>
      </c>
      <c r="C19" s="775">
        <f ca="1">IF(ROWS($1:9)&gt;COUNT(Dong6),"",OFFSET(TH!E$1,SMALL(Dong6,ROWS($1:9)),))</f>
        <v>42643</v>
      </c>
      <c r="D19" s="777" t="str">
        <f ca="1">IF(ROWS($1:9)&gt;COUNT(Dong6),"",OFFSET(TH!F$1,SMALL(Dong6,ROWS($1:9)),))</f>
        <v>Tiền lương BP Phân Xưởng &amp; CN</v>
      </c>
      <c r="E19" s="776">
        <f t="shared" ca="1" si="0"/>
        <v>9</v>
      </c>
      <c r="F19" s="778" t="str">
        <f ca="1">IF(ROWS($1:9)&gt;COUNT(Dong6),"",OFFSET(TH!L$1,SMALL(Dong6,ROWS($1:9)),))</f>
        <v>154</v>
      </c>
      <c r="G19" s="778" t="str">
        <f ca="1">IF(ROWS($1:9)&gt;COUNT(Dong6),"",OFFSET(TH!M$1,SMALL(Dong6,ROWS($1:9)),))</f>
        <v>3341</v>
      </c>
      <c r="H19" s="674">
        <f ca="1">IF(ROWS($1:9)&gt;COUNT(Dong6),"",OFFSET(TH!K$1,SMALL(Dong6,ROWS($1:9)),))</f>
        <v>16125000</v>
      </c>
      <c r="I19" s="674">
        <f ca="1">IF(ROWS($1:9)&gt;COUNT(Dong6),"",OFFSET(TH!K$1,SMALL(Dong6,ROWS($1:9)),))</f>
        <v>16125000</v>
      </c>
    </row>
    <row r="20" spans="1:9" s="767" customFormat="1" ht="21" customHeight="1">
      <c r="A20" s="775">
        <f ca="1">IF(ROWS($1:10)&gt;COUNT(Dong6),"",OFFSET(TH!C$1,SMALL(Dong6,ROWS($1:10)),))</f>
        <v>42643</v>
      </c>
      <c r="B20" s="776" t="str">
        <f ca="1">IF(ROWS($1:10)&gt;COUNT(Dong6),"",OFFSET(TH!D$1,SMALL(Dong6,ROWS($1:10)),))</f>
        <v>CTGS</v>
      </c>
      <c r="C20" s="775">
        <f ca="1">IF(ROWS($1:10)&gt;COUNT(Dong6),"",OFFSET(TH!E$1,SMALL(Dong6,ROWS($1:10)),))</f>
        <v>42643</v>
      </c>
      <c r="D20" s="777" t="str">
        <f ca="1">IF(ROWS($1:10)&gt;COUNT(Dong6),"",OFFSET(TH!F$1,SMALL(Dong6,ROWS($1:10)),))</f>
        <v>Thanh toán tiền lương tháng 9/2016</v>
      </c>
      <c r="E20" s="776">
        <f t="shared" ca="1" si="0"/>
        <v>10</v>
      </c>
      <c r="F20" s="778" t="str">
        <f ca="1">IF(ROWS($1:10)&gt;COUNT(Dong6),"",OFFSET(TH!L$1,SMALL(Dong6,ROWS($1:10)),))</f>
        <v>3341</v>
      </c>
      <c r="G20" s="778" t="str">
        <f ca="1">IF(ROWS($1:10)&gt;COUNT(Dong6),"",OFFSET(TH!M$1,SMALL(Dong6,ROWS($1:10)),))</f>
        <v>1111</v>
      </c>
      <c r="H20" s="674">
        <f ca="1">IF(ROWS($1:10)&gt;COUNT(Dong6),"",OFFSET(TH!K$1,SMALL(Dong6,ROWS($1:10)),))</f>
        <v>21500000</v>
      </c>
      <c r="I20" s="674">
        <f ca="1">IF(ROWS($1:10)&gt;COUNT(Dong6),"",OFFSET(TH!K$1,SMALL(Dong6,ROWS($1:10)),))</f>
        <v>21500000</v>
      </c>
    </row>
    <row r="21" spans="1:9" s="767" customFormat="1" ht="21" customHeight="1">
      <c r="A21" s="775">
        <f ca="1">IF(ROWS($1:11)&gt;COUNT(Dong6),"",OFFSET(TH!C$1,SMALL(Dong6,ROWS($1:11)),))</f>
        <v>42552</v>
      </c>
      <c r="B21" s="776" t="str">
        <f ca="1">IF(ROWS($1:11)&gt;COUNT(Dong6),"",OFFSET(TH!D$1,SMALL(Dong6,ROWS($1:11)),))</f>
        <v>GBC</v>
      </c>
      <c r="C21" s="775">
        <f ca="1">IF(ROWS($1:11)&gt;COUNT(Dong6),"",OFFSET(TH!E$1,SMALL(Dong6,ROWS($1:11)),))</f>
        <v>42552</v>
      </c>
      <c r="D21" s="777" t="str">
        <f ca="1">IF(ROWS($1:11)&gt;COUNT(Dong6),"",OFFSET(TH!F$1,SMALL(Dong6,ROWS($1:11)),))</f>
        <v>Thu tiền hàng</v>
      </c>
      <c r="E21" s="776">
        <f t="shared" ca="1" si="0"/>
        <v>11</v>
      </c>
      <c r="F21" s="778" t="str">
        <f ca="1">IF(ROWS($1:11)&gt;COUNT(Dong6),"",OFFSET(TH!L$1,SMALL(Dong6,ROWS($1:11)),))</f>
        <v>1121</v>
      </c>
      <c r="G21" s="778" t="str">
        <f ca="1">IF(ROWS($1:11)&gt;COUNT(Dong6),"",OFFSET(TH!M$1,SMALL(Dong6,ROWS($1:11)),))</f>
        <v>131</v>
      </c>
      <c r="H21" s="674">
        <f ca="1">IF(ROWS($1:11)&gt;COUNT(Dong6),"",OFFSET(TH!K$1,SMALL(Dong6,ROWS($1:11)),))</f>
        <v>6820000</v>
      </c>
      <c r="I21" s="674">
        <f ca="1">IF(ROWS($1:11)&gt;COUNT(Dong6),"",OFFSET(TH!K$1,SMALL(Dong6,ROWS($1:11)),))</f>
        <v>6820000</v>
      </c>
    </row>
    <row r="22" spans="1:9" s="767" customFormat="1" ht="21" customHeight="1">
      <c r="A22" s="775">
        <f ca="1">IF(ROWS($1:12)&gt;COUNT(Dong6),"",OFFSET(TH!C$1,SMALL(Dong6,ROWS($1:12)),))</f>
        <v>42552</v>
      </c>
      <c r="B22" s="776" t="str">
        <f ca="1">IF(ROWS($1:12)&gt;COUNT(Dong6),"",OFFSET(TH!D$1,SMALL(Dong6,ROWS($1:12)),))</f>
        <v>GBC</v>
      </c>
      <c r="C22" s="775">
        <f ca="1">IF(ROWS($1:12)&gt;COUNT(Dong6),"",OFFSET(TH!E$1,SMALL(Dong6,ROWS($1:12)),))</f>
        <v>42552</v>
      </c>
      <c r="D22" s="777" t="str">
        <f ca="1">IF(ROWS($1:12)&gt;COUNT(Dong6),"",OFFSET(TH!F$1,SMALL(Dong6,ROWS($1:12)),))</f>
        <v>Thu tiền hàng</v>
      </c>
      <c r="E22" s="776">
        <f t="shared" ca="1" si="0"/>
        <v>12</v>
      </c>
      <c r="F22" s="778" t="str">
        <f ca="1">IF(ROWS($1:12)&gt;COUNT(Dong6),"",OFFSET(TH!L$1,SMALL(Dong6,ROWS($1:12)),))</f>
        <v>1121</v>
      </c>
      <c r="G22" s="778" t="str">
        <f ca="1">IF(ROWS($1:12)&gt;COUNT(Dong6),"",OFFSET(TH!M$1,SMALL(Dong6,ROWS($1:12)),))</f>
        <v>131</v>
      </c>
      <c r="H22" s="674">
        <f ca="1">IF(ROWS($1:12)&gt;COUNT(Dong6),"",OFFSET(TH!K$1,SMALL(Dong6,ROWS($1:12)),))</f>
        <v>12535644</v>
      </c>
      <c r="I22" s="674">
        <f ca="1">IF(ROWS($1:12)&gt;COUNT(Dong6),"",OFFSET(TH!K$1,SMALL(Dong6,ROWS($1:12)),))</f>
        <v>12535644</v>
      </c>
    </row>
    <row r="23" spans="1:9" s="767" customFormat="1" ht="21" customHeight="1">
      <c r="A23" s="775">
        <f ca="1">IF(ROWS($1:13)&gt;COUNT(Dong6),"",OFFSET(TH!C$1,SMALL(Dong6,ROWS($1:13)),))</f>
        <v>42555</v>
      </c>
      <c r="B23" s="776" t="str">
        <f ca="1">IF(ROWS($1:13)&gt;COUNT(Dong6),"",OFFSET(TH!D$1,SMALL(Dong6,ROWS($1:13)),))</f>
        <v>GBC</v>
      </c>
      <c r="C23" s="775">
        <f ca="1">IF(ROWS($1:13)&gt;COUNT(Dong6),"",OFFSET(TH!E$1,SMALL(Dong6,ROWS($1:13)),))</f>
        <v>42555</v>
      </c>
      <c r="D23" s="777" t="str">
        <f ca="1">IF(ROWS($1:13)&gt;COUNT(Dong6),"",OFFSET(TH!F$1,SMALL(Dong6,ROWS($1:13)),))</f>
        <v>Nộp TM</v>
      </c>
      <c r="E23" s="776">
        <f t="shared" ca="1" si="0"/>
        <v>13</v>
      </c>
      <c r="F23" s="778" t="str">
        <f ca="1">IF(ROWS($1:13)&gt;COUNT(Dong6),"",OFFSET(TH!L$1,SMALL(Dong6,ROWS($1:13)),))</f>
        <v>1121</v>
      </c>
      <c r="G23" s="778" t="str">
        <f ca="1">IF(ROWS($1:13)&gt;COUNT(Dong6),"",OFFSET(TH!M$1,SMALL(Dong6,ROWS($1:13)),))</f>
        <v>1111</v>
      </c>
      <c r="H23" s="674">
        <f ca="1">IF(ROWS($1:13)&gt;COUNT(Dong6),"",OFFSET(TH!K$1,SMALL(Dong6,ROWS($1:13)),))</f>
        <v>8500000</v>
      </c>
      <c r="I23" s="674">
        <f ca="1">IF(ROWS($1:13)&gt;COUNT(Dong6),"",OFFSET(TH!K$1,SMALL(Dong6,ROWS($1:13)),))</f>
        <v>8500000</v>
      </c>
    </row>
    <row r="24" spans="1:9" s="767" customFormat="1" ht="21" customHeight="1">
      <c r="A24" s="775">
        <f ca="1">IF(ROWS($1:14)&gt;COUNT(Dong6),"",OFFSET(TH!C$1,SMALL(Dong6,ROWS($1:14)),))</f>
        <v>42555</v>
      </c>
      <c r="B24" s="776" t="str">
        <f ca="1">IF(ROWS($1:14)&gt;COUNT(Dong6),"",OFFSET(TH!D$1,SMALL(Dong6,ROWS($1:14)),))</f>
        <v>GBN</v>
      </c>
      <c r="C24" s="775">
        <f ca="1">IF(ROWS($1:14)&gt;COUNT(Dong6),"",OFFSET(TH!E$1,SMALL(Dong6,ROWS($1:14)),))</f>
        <v>42555</v>
      </c>
      <c r="D24" s="777" t="str">
        <f ca="1">IF(ROWS($1:14)&gt;COUNT(Dong6),"",OFFSET(TH!F$1,SMALL(Dong6,ROWS($1:14)),))</f>
        <v>Thanh toán tiền hàng</v>
      </c>
      <c r="E24" s="776">
        <f t="shared" ca="1" si="0"/>
        <v>14</v>
      </c>
      <c r="F24" s="778" t="str">
        <f ca="1">IF(ROWS($1:14)&gt;COUNT(Dong6),"",OFFSET(TH!L$1,SMALL(Dong6,ROWS($1:14)),))</f>
        <v>331</v>
      </c>
      <c r="G24" s="778" t="str">
        <f ca="1">IF(ROWS($1:14)&gt;COUNT(Dong6),"",OFFSET(TH!M$1,SMALL(Dong6,ROWS($1:14)),))</f>
        <v>1121</v>
      </c>
      <c r="H24" s="674">
        <f ca="1">IF(ROWS($1:14)&gt;COUNT(Dong6),"",OFFSET(TH!K$1,SMALL(Dong6,ROWS($1:14)),))</f>
        <v>28000000</v>
      </c>
      <c r="I24" s="674">
        <f ca="1">IF(ROWS($1:14)&gt;COUNT(Dong6),"",OFFSET(TH!K$1,SMALL(Dong6,ROWS($1:14)),))</f>
        <v>28000000</v>
      </c>
    </row>
    <row r="25" spans="1:9" s="767" customFormat="1" ht="21" customHeight="1">
      <c r="A25" s="775">
        <f ca="1">IF(ROWS($1:15)&gt;COUNT(Dong6),"",OFFSET(TH!C$1,SMALL(Dong6,ROWS($1:15)),))</f>
        <v>42555</v>
      </c>
      <c r="B25" s="776" t="str">
        <f ca="1">IF(ROWS($1:15)&gt;COUNT(Dong6),"",OFFSET(TH!D$1,SMALL(Dong6,ROWS($1:15)),))</f>
        <v>GBN</v>
      </c>
      <c r="C25" s="775">
        <f ca="1">IF(ROWS($1:15)&gt;COUNT(Dong6),"",OFFSET(TH!E$1,SMALL(Dong6,ROWS($1:15)),))</f>
        <v>42555</v>
      </c>
      <c r="D25" s="777" t="str">
        <f ca="1">IF(ROWS($1:15)&gt;COUNT(Dong6),"",OFFSET(TH!F$1,SMALL(Dong6,ROWS($1:15)),))</f>
        <v>Phí kiểm đếm</v>
      </c>
      <c r="E25" s="776">
        <f t="shared" ca="1" si="0"/>
        <v>15</v>
      </c>
      <c r="F25" s="778" t="str">
        <f ca="1">IF(ROWS($1:15)&gt;COUNT(Dong6),"",OFFSET(TH!L$1,SMALL(Dong6,ROWS($1:15)),))</f>
        <v>642</v>
      </c>
      <c r="G25" s="778" t="str">
        <f ca="1">IF(ROWS($1:15)&gt;COUNT(Dong6),"",OFFSET(TH!M$1,SMALL(Dong6,ROWS($1:15)),))</f>
        <v>1121</v>
      </c>
      <c r="H25" s="674">
        <f ca="1">IF(ROWS($1:15)&gt;COUNT(Dong6),"",OFFSET(TH!K$1,SMALL(Dong6,ROWS($1:15)),))</f>
        <v>13637</v>
      </c>
      <c r="I25" s="674">
        <f ca="1">IF(ROWS($1:15)&gt;COUNT(Dong6),"",OFFSET(TH!K$1,SMALL(Dong6,ROWS($1:15)),))</f>
        <v>13637</v>
      </c>
    </row>
    <row r="26" spans="1:9" s="767" customFormat="1" ht="21" customHeight="1">
      <c r="A26" s="775">
        <f ca="1">IF(ROWS($1:16)&gt;COUNT(Dong6),"",OFFSET(TH!C$1,SMALL(Dong6,ROWS($1:16)),))</f>
        <v>42555</v>
      </c>
      <c r="B26" s="776" t="str">
        <f ca="1">IF(ROWS($1:16)&gt;COUNT(Dong6),"",OFFSET(TH!D$1,SMALL(Dong6,ROWS($1:16)),))</f>
        <v>GBN</v>
      </c>
      <c r="C26" s="775">
        <f ca="1">IF(ROWS($1:16)&gt;COUNT(Dong6),"",OFFSET(TH!E$1,SMALL(Dong6,ROWS($1:16)),))</f>
        <v>42555</v>
      </c>
      <c r="D26" s="777" t="str">
        <f ca="1">IF(ROWS($1:16)&gt;COUNT(Dong6),"",OFFSET(TH!F$1,SMALL(Dong6,ROWS($1:16)),))</f>
        <v>VAT Phí kiểm đếm</v>
      </c>
      <c r="E26" s="776">
        <f t="shared" ca="1" si="0"/>
        <v>16</v>
      </c>
      <c r="F26" s="778" t="str">
        <f ca="1">IF(ROWS($1:16)&gt;COUNT(Dong6),"",OFFSET(TH!L$1,SMALL(Dong6,ROWS($1:16)),))</f>
        <v>1331</v>
      </c>
      <c r="G26" s="778" t="str">
        <f ca="1">IF(ROWS($1:16)&gt;COUNT(Dong6),"",OFFSET(TH!M$1,SMALL(Dong6,ROWS($1:16)),))</f>
        <v>1121</v>
      </c>
      <c r="H26" s="674">
        <f ca="1">IF(ROWS($1:16)&gt;COUNT(Dong6),"",OFFSET(TH!K$1,SMALL(Dong6,ROWS($1:16)),))</f>
        <v>1363</v>
      </c>
      <c r="I26" s="674">
        <f ca="1">IF(ROWS($1:16)&gt;COUNT(Dong6),"",OFFSET(TH!K$1,SMALL(Dong6,ROWS($1:16)),))</f>
        <v>1363</v>
      </c>
    </row>
    <row r="27" spans="1:9" s="767" customFormat="1" ht="21" customHeight="1">
      <c r="A27" s="775">
        <f ca="1">IF(ROWS($1:17)&gt;COUNT(Dong6),"",OFFSET(TH!C$1,SMALL(Dong6,ROWS($1:17)),))</f>
        <v>42556</v>
      </c>
      <c r="B27" s="776" t="str">
        <f ca="1">IF(ROWS($1:17)&gt;COUNT(Dong6),"",OFFSET(TH!D$1,SMALL(Dong6,ROWS($1:17)),))</f>
        <v>GBC</v>
      </c>
      <c r="C27" s="775">
        <f ca="1">IF(ROWS($1:17)&gt;COUNT(Dong6),"",OFFSET(TH!E$1,SMALL(Dong6,ROWS($1:17)),))</f>
        <v>42556</v>
      </c>
      <c r="D27" s="777" t="str">
        <f ca="1">IF(ROWS($1:17)&gt;COUNT(Dong6),"",OFFSET(TH!F$1,SMALL(Dong6,ROWS($1:17)),))</f>
        <v>Nộp TM</v>
      </c>
      <c r="E27" s="776">
        <f t="shared" ca="1" si="0"/>
        <v>17</v>
      </c>
      <c r="F27" s="778" t="str">
        <f ca="1">IF(ROWS($1:17)&gt;COUNT(Dong6),"",OFFSET(TH!L$1,SMALL(Dong6,ROWS($1:17)),))</f>
        <v>1121</v>
      </c>
      <c r="G27" s="778" t="str">
        <f ca="1">IF(ROWS($1:17)&gt;COUNT(Dong6),"",OFFSET(TH!M$1,SMALL(Dong6,ROWS($1:17)),))</f>
        <v>1111</v>
      </c>
      <c r="H27" s="674">
        <f ca="1">IF(ROWS($1:17)&gt;COUNT(Dong6),"",OFFSET(TH!K$1,SMALL(Dong6,ROWS($1:17)),))</f>
        <v>10000000</v>
      </c>
      <c r="I27" s="674">
        <f ca="1">IF(ROWS($1:17)&gt;COUNT(Dong6),"",OFFSET(TH!K$1,SMALL(Dong6,ROWS($1:17)),))</f>
        <v>10000000</v>
      </c>
    </row>
    <row r="28" spans="1:9" s="767" customFormat="1" ht="21" customHeight="1">
      <c r="A28" s="775">
        <f ca="1">IF(ROWS($1:18)&gt;COUNT(Dong6),"",OFFSET(TH!C$1,SMALL(Dong6,ROWS($1:18)),))</f>
        <v>42556</v>
      </c>
      <c r="B28" s="776" t="str">
        <f ca="1">IF(ROWS($1:18)&gt;COUNT(Dong6),"",OFFSET(TH!D$1,SMALL(Dong6,ROWS($1:18)),))</f>
        <v>GBC</v>
      </c>
      <c r="C28" s="775">
        <f ca="1">IF(ROWS($1:18)&gt;COUNT(Dong6),"",OFFSET(TH!E$1,SMALL(Dong6,ROWS($1:18)),))</f>
        <v>42556</v>
      </c>
      <c r="D28" s="777" t="str">
        <f ca="1">IF(ROWS($1:18)&gt;COUNT(Dong6),"",OFFSET(TH!F$1,SMALL(Dong6,ROWS($1:18)),))</f>
        <v>Thu tiền hàng</v>
      </c>
      <c r="E28" s="776">
        <f t="shared" ca="1" si="0"/>
        <v>18</v>
      </c>
      <c r="F28" s="778" t="str">
        <f ca="1">IF(ROWS($1:18)&gt;COUNT(Dong6),"",OFFSET(TH!L$1,SMALL(Dong6,ROWS($1:18)),))</f>
        <v>1121</v>
      </c>
      <c r="G28" s="778" t="str">
        <f ca="1">IF(ROWS($1:18)&gt;COUNT(Dong6),"",OFFSET(TH!M$1,SMALL(Dong6,ROWS($1:18)),))</f>
        <v>131</v>
      </c>
      <c r="H28" s="674">
        <f ca="1">IF(ROWS($1:18)&gt;COUNT(Dong6),"",OFFSET(TH!K$1,SMALL(Dong6,ROWS($1:18)),))</f>
        <v>24116015</v>
      </c>
      <c r="I28" s="674">
        <f ca="1">IF(ROWS($1:18)&gt;COUNT(Dong6),"",OFFSET(TH!K$1,SMALL(Dong6,ROWS($1:18)),))</f>
        <v>24116015</v>
      </c>
    </row>
    <row r="29" spans="1:9" s="767" customFormat="1" ht="21" customHeight="1">
      <c r="A29" s="775">
        <f ca="1">IF(ROWS($1:19)&gt;COUNT(Dong6),"",OFFSET(TH!C$1,SMALL(Dong6,ROWS($1:19)),))</f>
        <v>42556</v>
      </c>
      <c r="B29" s="776" t="str">
        <f ca="1">IF(ROWS($1:19)&gt;COUNT(Dong6),"",OFFSET(TH!D$1,SMALL(Dong6,ROWS($1:19)),))</f>
        <v>GBN</v>
      </c>
      <c r="C29" s="775">
        <f ca="1">IF(ROWS($1:19)&gt;COUNT(Dong6),"",OFFSET(TH!E$1,SMALL(Dong6,ROWS($1:19)),))</f>
        <v>42556</v>
      </c>
      <c r="D29" s="777" t="str">
        <f ca="1">IF(ROWS($1:19)&gt;COUNT(Dong6),"",OFFSET(TH!F$1,SMALL(Dong6,ROWS($1:19)),))</f>
        <v>Thanh toán tiền hàng</v>
      </c>
      <c r="E29" s="776">
        <f t="shared" ca="1" si="0"/>
        <v>19</v>
      </c>
      <c r="F29" s="778" t="str">
        <f ca="1">IF(ROWS($1:19)&gt;COUNT(Dong6),"",OFFSET(TH!L$1,SMALL(Dong6,ROWS($1:19)),))</f>
        <v>331</v>
      </c>
      <c r="G29" s="778" t="str">
        <f ca="1">IF(ROWS($1:19)&gt;COUNT(Dong6),"",OFFSET(TH!M$1,SMALL(Dong6,ROWS($1:19)),))</f>
        <v>1121</v>
      </c>
      <c r="H29" s="674">
        <f ca="1">IF(ROWS($1:19)&gt;COUNT(Dong6),"",OFFSET(TH!K$1,SMALL(Dong6,ROWS($1:19)),))</f>
        <v>10000000</v>
      </c>
      <c r="I29" s="674">
        <f ca="1">IF(ROWS($1:19)&gt;COUNT(Dong6),"",OFFSET(TH!K$1,SMALL(Dong6,ROWS($1:19)),))</f>
        <v>10000000</v>
      </c>
    </row>
    <row r="30" spans="1:9" s="767" customFormat="1" ht="21" customHeight="1">
      <c r="A30" s="775">
        <f ca="1">IF(ROWS($1:20)&gt;COUNT(Dong6),"",OFFSET(TH!C$1,SMALL(Dong6,ROWS($1:20)),))</f>
        <v>42556</v>
      </c>
      <c r="B30" s="776" t="str">
        <f ca="1">IF(ROWS($1:20)&gt;COUNT(Dong6),"",OFFSET(TH!D$1,SMALL(Dong6,ROWS($1:20)),))</f>
        <v>GBN</v>
      </c>
      <c r="C30" s="775">
        <f ca="1">IF(ROWS($1:20)&gt;COUNT(Dong6),"",OFFSET(TH!E$1,SMALL(Dong6,ROWS($1:20)),))</f>
        <v>42556</v>
      </c>
      <c r="D30" s="777" t="str">
        <f ca="1">IF(ROWS($1:20)&gt;COUNT(Dong6),"",OFFSET(TH!F$1,SMALL(Dong6,ROWS($1:20)),))</f>
        <v>Phí kiểm đếm</v>
      </c>
      <c r="E30" s="776">
        <f t="shared" ca="1" si="0"/>
        <v>20</v>
      </c>
      <c r="F30" s="778" t="str">
        <f ca="1">IF(ROWS($1:20)&gt;COUNT(Dong6),"",OFFSET(TH!L$1,SMALL(Dong6,ROWS($1:20)),))</f>
        <v>642</v>
      </c>
      <c r="G30" s="778" t="str">
        <f ca="1">IF(ROWS($1:20)&gt;COUNT(Dong6),"",OFFSET(TH!M$1,SMALL(Dong6,ROWS($1:20)),))</f>
        <v>1121</v>
      </c>
      <c r="H30" s="674">
        <f ca="1">IF(ROWS($1:20)&gt;COUNT(Dong6),"",OFFSET(TH!K$1,SMALL(Dong6,ROWS($1:20)),))</f>
        <v>13637</v>
      </c>
      <c r="I30" s="674">
        <f ca="1">IF(ROWS($1:20)&gt;COUNT(Dong6),"",OFFSET(TH!K$1,SMALL(Dong6,ROWS($1:20)),))</f>
        <v>13637</v>
      </c>
    </row>
    <row r="31" spans="1:9" s="767" customFormat="1" ht="21" customHeight="1">
      <c r="A31" s="775">
        <f ca="1">IF(ROWS($1:21)&gt;COUNT(Dong6),"",OFFSET(TH!C$1,SMALL(Dong6,ROWS($1:21)),))</f>
        <v>42556</v>
      </c>
      <c r="B31" s="776" t="str">
        <f ca="1">IF(ROWS($1:21)&gt;COUNT(Dong6),"",OFFSET(TH!D$1,SMALL(Dong6,ROWS($1:21)),))</f>
        <v>GBN</v>
      </c>
      <c r="C31" s="775">
        <f ca="1">IF(ROWS($1:21)&gt;COUNT(Dong6),"",OFFSET(TH!E$1,SMALL(Dong6,ROWS($1:21)),))</f>
        <v>42556</v>
      </c>
      <c r="D31" s="777" t="str">
        <f ca="1">IF(ROWS($1:21)&gt;COUNT(Dong6),"",OFFSET(TH!F$1,SMALL(Dong6,ROWS($1:21)),))</f>
        <v>VAT Phí kiểm đếm</v>
      </c>
      <c r="E31" s="776">
        <f t="shared" ca="1" si="0"/>
        <v>21</v>
      </c>
      <c r="F31" s="778" t="str">
        <f ca="1">IF(ROWS($1:21)&gt;COUNT(Dong6),"",OFFSET(TH!L$1,SMALL(Dong6,ROWS($1:21)),))</f>
        <v>1331</v>
      </c>
      <c r="G31" s="778" t="str">
        <f ca="1">IF(ROWS($1:21)&gt;COUNT(Dong6),"",OFFSET(TH!M$1,SMALL(Dong6,ROWS($1:21)),))</f>
        <v>1121</v>
      </c>
      <c r="H31" s="674">
        <f ca="1">IF(ROWS($1:21)&gt;COUNT(Dong6),"",OFFSET(TH!K$1,SMALL(Dong6,ROWS($1:21)),))</f>
        <v>1363</v>
      </c>
      <c r="I31" s="674">
        <f ca="1">IF(ROWS($1:21)&gt;COUNT(Dong6),"",OFFSET(TH!K$1,SMALL(Dong6,ROWS($1:21)),))</f>
        <v>1363</v>
      </c>
    </row>
    <row r="32" spans="1:9" s="767" customFormat="1" ht="21" customHeight="1">
      <c r="A32" s="775">
        <f ca="1">IF(ROWS($1:22)&gt;COUNT(Dong6),"",OFFSET(TH!C$1,SMALL(Dong6,ROWS($1:22)),))</f>
        <v>42556</v>
      </c>
      <c r="B32" s="776" t="str">
        <f ca="1">IF(ROWS($1:22)&gt;COUNT(Dong6),"",OFFSET(TH!D$1,SMALL(Dong6,ROWS($1:22)),))</f>
        <v>GBN</v>
      </c>
      <c r="C32" s="775">
        <f ca="1">IF(ROWS($1:22)&gt;COUNT(Dong6),"",OFFSET(TH!E$1,SMALL(Dong6,ROWS($1:22)),))</f>
        <v>42556</v>
      </c>
      <c r="D32" s="777" t="str">
        <f ca="1">IF(ROWS($1:22)&gt;COUNT(Dong6),"",OFFSET(TH!F$1,SMALL(Dong6,ROWS($1:22)),))</f>
        <v>Phí chuyển tiền</v>
      </c>
      <c r="E32" s="776">
        <f t="shared" ca="1" si="0"/>
        <v>22</v>
      </c>
      <c r="F32" s="778" t="str">
        <f ca="1">IF(ROWS($1:22)&gt;COUNT(Dong6),"",OFFSET(TH!L$1,SMALL(Dong6,ROWS($1:22)),))</f>
        <v>642</v>
      </c>
      <c r="G32" s="778" t="str">
        <f ca="1">IF(ROWS($1:22)&gt;COUNT(Dong6),"",OFFSET(TH!M$1,SMALL(Dong6,ROWS($1:22)),))</f>
        <v>1121</v>
      </c>
      <c r="H32" s="674">
        <f ca="1">IF(ROWS($1:22)&gt;COUNT(Dong6),"",OFFSET(TH!K$1,SMALL(Dong6,ROWS($1:22)),))</f>
        <v>13637</v>
      </c>
      <c r="I32" s="674">
        <f ca="1">IF(ROWS($1:22)&gt;COUNT(Dong6),"",OFFSET(TH!K$1,SMALL(Dong6,ROWS($1:22)),))</f>
        <v>13637</v>
      </c>
    </row>
    <row r="33" spans="1:9" s="767" customFormat="1" ht="21" customHeight="1">
      <c r="A33" s="775">
        <f ca="1">IF(ROWS($1:23)&gt;COUNT(Dong6),"",OFFSET(TH!C$1,SMALL(Dong6,ROWS($1:23)),))</f>
        <v>42556</v>
      </c>
      <c r="B33" s="776" t="str">
        <f ca="1">IF(ROWS($1:23)&gt;COUNT(Dong6),"",OFFSET(TH!D$1,SMALL(Dong6,ROWS($1:23)),))</f>
        <v>GBN</v>
      </c>
      <c r="C33" s="775">
        <f ca="1">IF(ROWS($1:23)&gt;COUNT(Dong6),"",OFFSET(TH!E$1,SMALL(Dong6,ROWS($1:23)),))</f>
        <v>42556</v>
      </c>
      <c r="D33" s="777" t="str">
        <f ca="1">IF(ROWS($1:23)&gt;COUNT(Dong6),"",OFFSET(TH!F$1,SMALL(Dong6,ROWS($1:23)),))</f>
        <v>VAT Phí chuyển tiền</v>
      </c>
      <c r="E33" s="776">
        <f t="shared" ca="1" si="0"/>
        <v>23</v>
      </c>
      <c r="F33" s="778" t="str">
        <f ca="1">IF(ROWS($1:23)&gt;COUNT(Dong6),"",OFFSET(TH!L$1,SMALL(Dong6,ROWS($1:23)),))</f>
        <v>1331</v>
      </c>
      <c r="G33" s="778" t="str">
        <f ca="1">IF(ROWS($1:23)&gt;COUNT(Dong6),"",OFFSET(TH!M$1,SMALL(Dong6,ROWS($1:23)),))</f>
        <v>1121</v>
      </c>
      <c r="H33" s="674">
        <f ca="1">IF(ROWS($1:23)&gt;COUNT(Dong6),"",OFFSET(TH!K$1,SMALL(Dong6,ROWS($1:23)),))</f>
        <v>1363</v>
      </c>
      <c r="I33" s="674">
        <f ca="1">IF(ROWS($1:23)&gt;COUNT(Dong6),"",OFFSET(TH!K$1,SMALL(Dong6,ROWS($1:23)),))</f>
        <v>1363</v>
      </c>
    </row>
    <row r="34" spans="1:9" s="767" customFormat="1" ht="21" customHeight="1">
      <c r="A34" s="775">
        <f ca="1">IF(ROWS($1:24)&gt;COUNT(Dong6),"",OFFSET(TH!C$1,SMALL(Dong6,ROWS($1:24)),))</f>
        <v>42556</v>
      </c>
      <c r="B34" s="776" t="str">
        <f ca="1">IF(ROWS($1:24)&gt;COUNT(Dong6),"",OFFSET(TH!D$1,SMALL(Dong6,ROWS($1:24)),))</f>
        <v>TP/X01</v>
      </c>
      <c r="C34" s="775">
        <f ca="1">IF(ROWS($1:24)&gt;COUNT(Dong6),"",OFFSET(TH!E$1,SMALL(Dong6,ROWS($1:24)),))</f>
        <v>42556</v>
      </c>
      <c r="D34" s="777" t="str">
        <f ca="1">IF(ROWS($1:24)&gt;COUNT(Dong6),"",OFFSET(TH!F$1,SMALL(Dong6,ROWS($1:24)),))</f>
        <v>Thùng bột ớt (49x38x12)</v>
      </c>
      <c r="E34" s="776">
        <f t="shared" ca="1" si="0"/>
        <v>24</v>
      </c>
      <c r="F34" s="778" t="str">
        <f ca="1">IF(ROWS($1:24)&gt;COUNT(Dong6),"",OFFSET(TH!L$1,SMALL(Dong6,ROWS($1:24)),))</f>
        <v>131</v>
      </c>
      <c r="G34" s="778" t="str">
        <f ca="1">IF(ROWS($1:24)&gt;COUNT(Dong6),"",OFFSET(TH!M$1,SMALL(Dong6,ROWS($1:24)),))</f>
        <v>5112</v>
      </c>
      <c r="H34" s="674">
        <f ca="1">IF(ROWS($1:24)&gt;COUNT(Dong6),"",OFFSET(TH!K$1,SMALL(Dong6,ROWS($1:24)),))</f>
        <v>5229000</v>
      </c>
      <c r="I34" s="674">
        <f ca="1">IF(ROWS($1:24)&gt;COUNT(Dong6),"",OFFSET(TH!K$1,SMALL(Dong6,ROWS($1:24)),))</f>
        <v>5229000</v>
      </c>
    </row>
    <row r="35" spans="1:9" s="767" customFormat="1" ht="21" customHeight="1">
      <c r="A35" s="775">
        <f ca="1">IF(ROWS($1:25)&gt;COUNT(Dong6),"",OFFSET(TH!C$1,SMALL(Dong6,ROWS($1:25)),))</f>
        <v>42556</v>
      </c>
      <c r="B35" s="776" t="str">
        <f ca="1">IF(ROWS($1:25)&gt;COUNT(Dong6),"",OFFSET(TH!D$1,SMALL(Dong6,ROWS($1:25)),))</f>
        <v>TP/X01</v>
      </c>
      <c r="C35" s="775">
        <f ca="1">IF(ROWS($1:25)&gt;COUNT(Dong6),"",OFFSET(TH!E$1,SMALL(Dong6,ROWS($1:25)),))</f>
        <v>42556</v>
      </c>
      <c r="D35" s="777" t="str">
        <f ca="1">IF(ROWS($1:25)&gt;COUNT(Dong6),"",OFFSET(TH!F$1,SMALL(Dong6,ROWS($1:25)),))</f>
        <v>VAT Thùng</v>
      </c>
      <c r="E35" s="776">
        <f t="shared" ca="1" si="0"/>
        <v>25</v>
      </c>
      <c r="F35" s="778" t="str">
        <f ca="1">IF(ROWS($1:25)&gt;COUNT(Dong6),"",OFFSET(TH!L$1,SMALL(Dong6,ROWS($1:25)),))</f>
        <v>131</v>
      </c>
      <c r="G35" s="778" t="str">
        <f ca="1">IF(ROWS($1:25)&gt;COUNT(Dong6),"",OFFSET(TH!M$1,SMALL(Dong6,ROWS($1:25)),))</f>
        <v>3331</v>
      </c>
      <c r="H35" s="674">
        <f ca="1">IF(ROWS($1:25)&gt;COUNT(Dong6),"",OFFSET(TH!K$1,SMALL(Dong6,ROWS($1:25)),))</f>
        <v>522900</v>
      </c>
      <c r="I35" s="674">
        <f ca="1">IF(ROWS($1:25)&gt;COUNT(Dong6),"",OFFSET(TH!K$1,SMALL(Dong6,ROWS($1:25)),))</f>
        <v>522900</v>
      </c>
    </row>
    <row r="36" spans="1:9" s="767" customFormat="1" ht="21" customHeight="1">
      <c r="A36" s="775">
        <f ca="1">IF(ROWS($1:26)&gt;COUNT(Dong6),"",OFFSET(TH!C$1,SMALL(Dong6,ROWS($1:26)),))</f>
        <v>42557</v>
      </c>
      <c r="B36" s="776" t="str">
        <f ca="1">IF(ROWS($1:26)&gt;COUNT(Dong6),"",OFFSET(TH!D$1,SMALL(Dong6,ROWS($1:26)),))</f>
        <v>GBC</v>
      </c>
      <c r="C36" s="775">
        <f ca="1">IF(ROWS($1:26)&gt;COUNT(Dong6),"",OFFSET(TH!E$1,SMALL(Dong6,ROWS($1:26)),))</f>
        <v>42557</v>
      </c>
      <c r="D36" s="777" t="str">
        <f ca="1">IF(ROWS($1:26)&gt;COUNT(Dong6),"",OFFSET(TH!F$1,SMALL(Dong6,ROWS($1:26)),))</f>
        <v>Thu tiền hàng</v>
      </c>
      <c r="E36" s="776">
        <f t="shared" ca="1" si="0"/>
        <v>26</v>
      </c>
      <c r="F36" s="778" t="str">
        <f ca="1">IF(ROWS($1:26)&gt;COUNT(Dong6),"",OFFSET(TH!L$1,SMALL(Dong6,ROWS($1:26)),))</f>
        <v>1121</v>
      </c>
      <c r="G36" s="778" t="str">
        <f ca="1">IF(ROWS($1:26)&gt;COUNT(Dong6),"",OFFSET(TH!M$1,SMALL(Dong6,ROWS($1:26)),))</f>
        <v>131</v>
      </c>
      <c r="H36" s="674">
        <f ca="1">IF(ROWS($1:26)&gt;COUNT(Dong6),"",OFFSET(TH!K$1,SMALL(Dong6,ROWS($1:26)),))</f>
        <v>13380000</v>
      </c>
      <c r="I36" s="674">
        <f ca="1">IF(ROWS($1:26)&gt;COUNT(Dong6),"",OFFSET(TH!K$1,SMALL(Dong6,ROWS($1:26)),))</f>
        <v>13380000</v>
      </c>
    </row>
    <row r="37" spans="1:9" s="767" customFormat="1" ht="21" customHeight="1">
      <c r="A37" s="775">
        <f ca="1">IF(ROWS($1:27)&gt;COUNT(Dong6),"",OFFSET(TH!C$1,SMALL(Dong6,ROWS($1:27)),))</f>
        <v>42557</v>
      </c>
      <c r="B37" s="776" t="str">
        <f ca="1">IF(ROWS($1:27)&gt;COUNT(Dong6),"",OFFSET(TH!D$1,SMALL(Dong6,ROWS($1:27)),))</f>
        <v>TP/X02</v>
      </c>
      <c r="C37" s="775">
        <f ca="1">IF(ROWS($1:27)&gt;COUNT(Dong6),"",OFFSET(TH!E$1,SMALL(Dong6,ROWS($1:27)),))</f>
        <v>42557</v>
      </c>
      <c r="D37" s="777" t="str">
        <f ca="1">IF(ROWS($1:27)&gt;COUNT(Dong6),"",OFFSET(TH!F$1,SMALL(Dong6,ROWS($1:27)),))</f>
        <v>Thùng (52x24.5x24.5)</v>
      </c>
      <c r="E37" s="776">
        <f t="shared" ca="1" si="0"/>
        <v>27</v>
      </c>
      <c r="F37" s="778" t="str">
        <f ca="1">IF(ROWS($1:27)&gt;COUNT(Dong6),"",OFFSET(TH!L$1,SMALL(Dong6,ROWS($1:27)),))</f>
        <v>131</v>
      </c>
      <c r="G37" s="778" t="str">
        <f ca="1">IF(ROWS($1:27)&gt;COUNT(Dong6),"",OFFSET(TH!M$1,SMALL(Dong6,ROWS($1:27)),))</f>
        <v>5112</v>
      </c>
      <c r="H37" s="674">
        <f ca="1">IF(ROWS($1:27)&gt;COUNT(Dong6),"",OFFSET(TH!K$1,SMALL(Dong6,ROWS($1:27)),))</f>
        <v>6600000</v>
      </c>
      <c r="I37" s="674">
        <f ca="1">IF(ROWS($1:27)&gt;COUNT(Dong6),"",OFFSET(TH!K$1,SMALL(Dong6,ROWS($1:27)),))</f>
        <v>6600000</v>
      </c>
    </row>
    <row r="38" spans="1:9" s="767" customFormat="1" ht="21" customHeight="1">
      <c r="A38" s="775">
        <f ca="1">IF(ROWS($1:28)&gt;COUNT(Dong6),"",OFFSET(TH!C$1,SMALL(Dong6,ROWS($1:28)),))</f>
        <v>42557</v>
      </c>
      <c r="B38" s="776" t="str">
        <f ca="1">IF(ROWS($1:28)&gt;COUNT(Dong6),"",OFFSET(TH!D$1,SMALL(Dong6,ROWS($1:28)),))</f>
        <v>TP/X02</v>
      </c>
      <c r="C38" s="775">
        <f ca="1">IF(ROWS($1:28)&gt;COUNT(Dong6),"",OFFSET(TH!E$1,SMALL(Dong6,ROWS($1:28)),))</f>
        <v>42557</v>
      </c>
      <c r="D38" s="777" t="str">
        <f ca="1">IF(ROWS($1:28)&gt;COUNT(Dong6),"",OFFSET(TH!F$1,SMALL(Dong6,ROWS($1:28)),))</f>
        <v>Thùng (52x26.5x26.5)</v>
      </c>
      <c r="E38" s="776">
        <f t="shared" ca="1" si="0"/>
        <v>28</v>
      </c>
      <c r="F38" s="778" t="str">
        <f ca="1">IF(ROWS($1:28)&gt;COUNT(Dong6),"",OFFSET(TH!L$1,SMALL(Dong6,ROWS($1:28)),))</f>
        <v>131</v>
      </c>
      <c r="G38" s="778" t="str">
        <f ca="1">IF(ROWS($1:28)&gt;COUNT(Dong6),"",OFFSET(TH!M$1,SMALL(Dong6,ROWS($1:28)),))</f>
        <v>5112</v>
      </c>
      <c r="H38" s="674">
        <f ca="1">IF(ROWS($1:28)&gt;COUNT(Dong6),"",OFFSET(TH!K$1,SMALL(Dong6,ROWS($1:28)),))</f>
        <v>3496500</v>
      </c>
      <c r="I38" s="674">
        <f ca="1">IF(ROWS($1:28)&gt;COUNT(Dong6),"",OFFSET(TH!K$1,SMALL(Dong6,ROWS($1:28)),))</f>
        <v>3496500</v>
      </c>
    </row>
    <row r="39" spans="1:9" s="767" customFormat="1" ht="21" customHeight="1">
      <c r="A39" s="775">
        <f ca="1">IF(ROWS($1:29)&gt;COUNT(Dong6),"",OFFSET(TH!C$1,SMALL(Dong6,ROWS($1:29)),))</f>
        <v>42557</v>
      </c>
      <c r="B39" s="776" t="str">
        <f ca="1">IF(ROWS($1:29)&gt;COUNT(Dong6),"",OFFSET(TH!D$1,SMALL(Dong6,ROWS($1:29)),))</f>
        <v>TP/X02</v>
      </c>
      <c r="C39" s="775">
        <f ca="1">IF(ROWS($1:29)&gt;COUNT(Dong6),"",OFFSET(TH!E$1,SMALL(Dong6,ROWS($1:29)),))</f>
        <v>42557</v>
      </c>
      <c r="D39" s="777" t="str">
        <f ca="1">IF(ROWS($1:29)&gt;COUNT(Dong6),"",OFFSET(TH!F$1,SMALL(Dong6,ROWS($1:29)),))</f>
        <v>Thùng (50x25x30)</v>
      </c>
      <c r="E39" s="776">
        <f t="shared" ca="1" si="0"/>
        <v>29</v>
      </c>
      <c r="F39" s="778" t="str">
        <f ca="1">IF(ROWS($1:29)&gt;COUNT(Dong6),"",OFFSET(TH!L$1,SMALL(Dong6,ROWS($1:29)),))</f>
        <v>131</v>
      </c>
      <c r="G39" s="778" t="str">
        <f ca="1">IF(ROWS($1:29)&gt;COUNT(Dong6),"",OFFSET(TH!M$1,SMALL(Dong6,ROWS($1:29)),))</f>
        <v>5112</v>
      </c>
      <c r="H39" s="674">
        <f ca="1">IF(ROWS($1:29)&gt;COUNT(Dong6),"",OFFSET(TH!K$1,SMALL(Dong6,ROWS($1:29)),))</f>
        <v>1792000</v>
      </c>
      <c r="I39" s="674">
        <f ca="1">IF(ROWS($1:29)&gt;COUNT(Dong6),"",OFFSET(TH!K$1,SMALL(Dong6,ROWS($1:29)),))</f>
        <v>1792000</v>
      </c>
    </row>
    <row r="40" spans="1:9" s="767" customFormat="1" ht="21" customHeight="1">
      <c r="A40" s="775">
        <f ca="1">IF(ROWS($1:30)&gt;COUNT(Dong6),"",OFFSET(TH!C$1,SMALL(Dong6,ROWS($1:30)),))</f>
        <v>42557</v>
      </c>
      <c r="B40" s="776" t="str">
        <f ca="1">IF(ROWS($1:30)&gt;COUNT(Dong6),"",OFFSET(TH!D$1,SMALL(Dong6,ROWS($1:30)),))</f>
        <v>TP/X02</v>
      </c>
      <c r="C40" s="775">
        <f ca="1">IF(ROWS($1:30)&gt;COUNT(Dong6),"",OFFSET(TH!E$1,SMALL(Dong6,ROWS($1:30)),))</f>
        <v>42557</v>
      </c>
      <c r="D40" s="777" t="str">
        <f ca="1">IF(ROWS($1:30)&gt;COUNT(Dong6),"",OFFSET(TH!F$1,SMALL(Dong6,ROWS($1:30)),))</f>
        <v>VAT Thùng</v>
      </c>
      <c r="E40" s="776">
        <f t="shared" ca="1" si="0"/>
        <v>30</v>
      </c>
      <c r="F40" s="778" t="str">
        <f ca="1">IF(ROWS($1:30)&gt;COUNT(Dong6),"",OFFSET(TH!L$1,SMALL(Dong6,ROWS($1:30)),))</f>
        <v>131</v>
      </c>
      <c r="G40" s="778" t="str">
        <f ca="1">IF(ROWS($1:30)&gt;COUNT(Dong6),"",OFFSET(TH!M$1,SMALL(Dong6,ROWS($1:30)),))</f>
        <v>3331</v>
      </c>
      <c r="H40" s="674">
        <f ca="1">IF(ROWS($1:30)&gt;COUNT(Dong6),"",OFFSET(TH!K$1,SMALL(Dong6,ROWS($1:30)),))</f>
        <v>1188850</v>
      </c>
      <c r="I40" s="674">
        <f ca="1">IF(ROWS($1:30)&gt;COUNT(Dong6),"",OFFSET(TH!K$1,SMALL(Dong6,ROWS($1:30)),))</f>
        <v>1188850</v>
      </c>
    </row>
    <row r="41" spans="1:9" s="767" customFormat="1" ht="21" customHeight="1">
      <c r="A41" s="775">
        <f ca="1">IF(ROWS($1:31)&gt;COUNT(Dong6),"",OFFSET(TH!C$1,SMALL(Dong6,ROWS($1:31)),))</f>
        <v>42557</v>
      </c>
      <c r="B41" s="776" t="str">
        <f ca="1">IF(ROWS($1:31)&gt;COUNT(Dong6),"",OFFSET(TH!D$1,SMALL(Dong6,ROWS($1:31)),))</f>
        <v>TP/X03</v>
      </c>
      <c r="C41" s="775">
        <f ca="1">IF(ROWS($1:31)&gt;COUNT(Dong6),"",OFFSET(TH!E$1,SMALL(Dong6,ROWS($1:31)),))</f>
        <v>42557</v>
      </c>
      <c r="D41" s="777" t="str">
        <f ca="1">IF(ROWS($1:31)&gt;COUNT(Dong6),"",OFFSET(TH!F$1,SMALL(Dong6,ROWS($1:31)),))</f>
        <v>Thùng (29x29x29.5)</v>
      </c>
      <c r="E41" s="776">
        <f t="shared" ref="E41:E50" ca="1" si="1">IF(D41&lt;&gt;"",ROW()-10,"")</f>
        <v>31</v>
      </c>
      <c r="F41" s="778" t="str">
        <f ca="1">IF(ROWS($1:31)&gt;COUNT(Dong6),"",OFFSET(TH!L$1,SMALL(Dong6,ROWS($1:31)),))</f>
        <v>131</v>
      </c>
      <c r="G41" s="778" t="str">
        <f ca="1">IF(ROWS($1:31)&gt;COUNT(Dong6),"",OFFSET(TH!M$1,SMALL(Dong6,ROWS($1:31)),))</f>
        <v>5112</v>
      </c>
      <c r="H41" s="674">
        <f ca="1">IF(ROWS($1:31)&gt;COUNT(Dong6),"",OFFSET(TH!K$1,SMALL(Dong6,ROWS($1:31)),))</f>
        <v>1541000</v>
      </c>
      <c r="I41" s="674">
        <f ca="1">IF(ROWS($1:31)&gt;COUNT(Dong6),"",OFFSET(TH!K$1,SMALL(Dong6,ROWS($1:31)),))</f>
        <v>1541000</v>
      </c>
    </row>
    <row r="42" spans="1:9" s="767" customFormat="1" ht="21" customHeight="1">
      <c r="A42" s="775">
        <f ca="1">IF(ROWS($1:32)&gt;COUNT(Dong6),"",OFFSET(TH!C$1,SMALL(Dong6,ROWS($1:32)),))</f>
        <v>42557</v>
      </c>
      <c r="B42" s="776" t="str">
        <f ca="1">IF(ROWS($1:32)&gt;COUNT(Dong6),"",OFFSET(TH!D$1,SMALL(Dong6,ROWS($1:32)),))</f>
        <v>TP/X03</v>
      </c>
      <c r="C42" s="775">
        <f ca="1">IF(ROWS($1:32)&gt;COUNT(Dong6),"",OFFSET(TH!E$1,SMALL(Dong6,ROWS($1:32)),))</f>
        <v>42557</v>
      </c>
      <c r="D42" s="777" t="str">
        <f ca="1">IF(ROWS($1:32)&gt;COUNT(Dong6),"",OFFSET(TH!F$1,SMALL(Dong6,ROWS($1:32)),))</f>
        <v>VAT Thùng</v>
      </c>
      <c r="E42" s="776">
        <f t="shared" ca="1" si="1"/>
        <v>32</v>
      </c>
      <c r="F42" s="778" t="str">
        <f ca="1">IF(ROWS($1:32)&gt;COUNT(Dong6),"",OFFSET(TH!L$1,SMALL(Dong6,ROWS($1:32)),))</f>
        <v>131</v>
      </c>
      <c r="G42" s="778" t="str">
        <f ca="1">IF(ROWS($1:32)&gt;COUNT(Dong6),"",OFFSET(TH!M$1,SMALL(Dong6,ROWS($1:32)),))</f>
        <v>3331</v>
      </c>
      <c r="H42" s="674">
        <f ca="1">IF(ROWS($1:32)&gt;COUNT(Dong6),"",OFFSET(TH!K$1,SMALL(Dong6,ROWS($1:32)),))</f>
        <v>154100</v>
      </c>
      <c r="I42" s="674">
        <f ca="1">IF(ROWS($1:32)&gt;COUNT(Dong6),"",OFFSET(TH!K$1,SMALL(Dong6,ROWS($1:32)),))</f>
        <v>154100</v>
      </c>
    </row>
    <row r="43" spans="1:9" s="767" customFormat="1" ht="21" customHeight="1">
      <c r="A43" s="775">
        <f ca="1">IF(ROWS($1:33)&gt;COUNT(Dong6),"",OFFSET(TH!C$1,SMALL(Dong6,ROWS($1:33)),))</f>
        <v>42558</v>
      </c>
      <c r="B43" s="776" t="str">
        <f ca="1">IF(ROWS($1:33)&gt;COUNT(Dong6),"",OFFSET(TH!D$1,SMALL(Dong6,ROWS($1:33)),))</f>
        <v>GBC</v>
      </c>
      <c r="C43" s="775">
        <f ca="1">IF(ROWS($1:33)&gt;COUNT(Dong6),"",OFFSET(TH!E$1,SMALL(Dong6,ROWS($1:33)),))</f>
        <v>42558</v>
      </c>
      <c r="D43" s="777" t="str">
        <f ca="1">IF(ROWS($1:33)&gt;COUNT(Dong6),"",OFFSET(TH!F$1,SMALL(Dong6,ROWS($1:33)),))</f>
        <v>Thu tiền hàng</v>
      </c>
      <c r="E43" s="776">
        <f t="shared" ca="1" si="1"/>
        <v>33</v>
      </c>
      <c r="F43" s="778" t="str">
        <f ca="1">IF(ROWS($1:33)&gt;COUNT(Dong6),"",OFFSET(TH!L$1,SMALL(Dong6,ROWS($1:33)),))</f>
        <v>1121</v>
      </c>
      <c r="G43" s="778" t="str">
        <f ca="1">IF(ROWS($1:33)&gt;COUNT(Dong6),"",OFFSET(TH!M$1,SMALL(Dong6,ROWS($1:33)),))</f>
        <v>131</v>
      </c>
      <c r="H43" s="674">
        <f ca="1">IF(ROWS($1:33)&gt;COUNT(Dong6),"",OFFSET(TH!K$1,SMALL(Dong6,ROWS($1:33)),))</f>
        <v>20348900</v>
      </c>
      <c r="I43" s="674">
        <f ca="1">IF(ROWS($1:33)&gt;COUNT(Dong6),"",OFFSET(TH!K$1,SMALL(Dong6,ROWS($1:33)),))</f>
        <v>20348900</v>
      </c>
    </row>
    <row r="44" spans="1:9" s="767" customFormat="1" ht="21" customHeight="1">
      <c r="A44" s="775">
        <f ca="1">IF(ROWS($1:34)&gt;COUNT(Dong6),"",OFFSET(TH!C$1,SMALL(Dong6,ROWS($1:34)),))</f>
        <v>42558</v>
      </c>
      <c r="B44" s="776" t="str">
        <f ca="1">IF(ROWS($1:34)&gt;COUNT(Dong6),"",OFFSET(TH!D$1,SMALL(Dong6,ROWS($1:34)),))</f>
        <v>GBN</v>
      </c>
      <c r="C44" s="775">
        <f ca="1">IF(ROWS($1:34)&gt;COUNT(Dong6),"",OFFSET(TH!E$1,SMALL(Dong6,ROWS($1:34)),))</f>
        <v>42558</v>
      </c>
      <c r="D44" s="777" t="str">
        <f ca="1">IF(ROWS($1:34)&gt;COUNT(Dong6),"",OFFSET(TH!F$1,SMALL(Dong6,ROWS($1:34)),))</f>
        <v>Thanh toán tiền hàng</v>
      </c>
      <c r="E44" s="776">
        <f t="shared" ca="1" si="1"/>
        <v>34</v>
      </c>
      <c r="F44" s="778" t="str">
        <f ca="1">IF(ROWS($1:34)&gt;COUNT(Dong6),"",OFFSET(TH!L$1,SMALL(Dong6,ROWS($1:34)),))</f>
        <v>331</v>
      </c>
      <c r="G44" s="778" t="str">
        <f ca="1">IF(ROWS($1:34)&gt;COUNT(Dong6),"",OFFSET(TH!M$1,SMALL(Dong6,ROWS($1:34)),))</f>
        <v>1121</v>
      </c>
      <c r="H44" s="674">
        <f ca="1">IF(ROWS($1:34)&gt;COUNT(Dong6),"",OFFSET(TH!K$1,SMALL(Dong6,ROWS($1:34)),))</f>
        <v>34625550</v>
      </c>
      <c r="I44" s="674">
        <f ca="1">IF(ROWS($1:34)&gt;COUNT(Dong6),"",OFFSET(TH!K$1,SMALL(Dong6,ROWS($1:34)),))</f>
        <v>34625550</v>
      </c>
    </row>
    <row r="45" spans="1:9" s="767" customFormat="1" ht="21" customHeight="1">
      <c r="A45" s="775">
        <f ca="1">IF(ROWS($1:35)&gt;COUNT(Dong6),"",OFFSET(TH!C$1,SMALL(Dong6,ROWS($1:35)),))</f>
        <v>42558</v>
      </c>
      <c r="B45" s="776" t="str">
        <f ca="1">IF(ROWS($1:35)&gt;COUNT(Dong6),"",OFFSET(TH!D$1,SMALL(Dong6,ROWS($1:35)),))</f>
        <v>GBN</v>
      </c>
      <c r="C45" s="775">
        <f ca="1">IF(ROWS($1:35)&gt;COUNT(Dong6),"",OFFSET(TH!E$1,SMALL(Dong6,ROWS($1:35)),))</f>
        <v>42558</v>
      </c>
      <c r="D45" s="777" t="str">
        <f ca="1">IF(ROWS($1:35)&gt;COUNT(Dong6),"",OFFSET(TH!F$1,SMALL(Dong6,ROWS($1:35)),))</f>
        <v>Thanh toán tiền hàng</v>
      </c>
      <c r="E45" s="776">
        <f t="shared" ca="1" si="1"/>
        <v>35</v>
      </c>
      <c r="F45" s="778" t="str">
        <f ca="1">IF(ROWS($1:35)&gt;COUNT(Dong6),"",OFFSET(TH!L$1,SMALL(Dong6,ROWS($1:35)),))</f>
        <v>331</v>
      </c>
      <c r="G45" s="778" t="str">
        <f ca="1">IF(ROWS($1:35)&gt;COUNT(Dong6),"",OFFSET(TH!M$1,SMALL(Dong6,ROWS($1:35)),))</f>
        <v>1121</v>
      </c>
      <c r="H45" s="674">
        <f ca="1">IF(ROWS($1:35)&gt;COUNT(Dong6),"",OFFSET(TH!K$1,SMALL(Dong6,ROWS($1:35)),))</f>
        <v>23200000</v>
      </c>
      <c r="I45" s="674">
        <f ca="1">IF(ROWS($1:35)&gt;COUNT(Dong6),"",OFFSET(TH!K$1,SMALL(Dong6,ROWS($1:35)),))</f>
        <v>23200000</v>
      </c>
    </row>
    <row r="46" spans="1:9" s="767" customFormat="1" ht="21" customHeight="1">
      <c r="A46" s="775">
        <f ca="1">IF(ROWS($1:36)&gt;COUNT(Dong6),"",OFFSET(TH!C$1,SMALL(Dong6,ROWS($1:36)),))</f>
        <v>42558</v>
      </c>
      <c r="B46" s="776" t="str">
        <f ca="1">IF(ROWS($1:36)&gt;COUNT(Dong6),"",OFFSET(TH!D$1,SMALL(Dong6,ROWS($1:36)),))</f>
        <v>GBN</v>
      </c>
      <c r="C46" s="775">
        <f ca="1">IF(ROWS($1:36)&gt;COUNT(Dong6),"",OFFSET(TH!E$1,SMALL(Dong6,ROWS($1:36)),))</f>
        <v>42558</v>
      </c>
      <c r="D46" s="777" t="str">
        <f ca="1">IF(ROWS($1:36)&gt;COUNT(Dong6),"",OFFSET(TH!F$1,SMALL(Dong6,ROWS($1:36)),))</f>
        <v>Phí chuyển tiền</v>
      </c>
      <c r="E46" s="776">
        <f t="shared" ca="1" si="1"/>
        <v>36</v>
      </c>
      <c r="F46" s="778" t="str">
        <f ca="1">IF(ROWS($1:36)&gt;COUNT(Dong6),"",OFFSET(TH!L$1,SMALL(Dong6,ROWS($1:36)),))</f>
        <v>642</v>
      </c>
      <c r="G46" s="778" t="str">
        <f ca="1">IF(ROWS($1:36)&gt;COUNT(Dong6),"",OFFSET(TH!M$1,SMALL(Dong6,ROWS($1:36)),))</f>
        <v>1121</v>
      </c>
      <c r="H46" s="674">
        <f ca="1">IF(ROWS($1:36)&gt;COUNT(Dong6),"",OFFSET(TH!K$1,SMALL(Dong6,ROWS($1:36)),))</f>
        <v>13637</v>
      </c>
      <c r="I46" s="674">
        <f ca="1">IF(ROWS($1:36)&gt;COUNT(Dong6),"",OFFSET(TH!K$1,SMALL(Dong6,ROWS($1:36)),))</f>
        <v>13637</v>
      </c>
    </row>
    <row r="47" spans="1:9" s="767" customFormat="1" ht="21" customHeight="1">
      <c r="A47" s="775">
        <f ca="1">IF(ROWS($1:37)&gt;COUNT(Dong6),"",OFFSET(TH!C$1,SMALL(Dong6,ROWS($1:37)),))</f>
        <v>42558</v>
      </c>
      <c r="B47" s="776" t="str">
        <f ca="1">IF(ROWS($1:37)&gt;COUNT(Dong6),"",OFFSET(TH!D$1,SMALL(Dong6,ROWS($1:37)),))</f>
        <v>GBN</v>
      </c>
      <c r="C47" s="775">
        <f ca="1">IF(ROWS($1:37)&gt;COUNT(Dong6),"",OFFSET(TH!E$1,SMALL(Dong6,ROWS($1:37)),))</f>
        <v>42558</v>
      </c>
      <c r="D47" s="777" t="str">
        <f ca="1">IF(ROWS($1:37)&gt;COUNT(Dong6),"",OFFSET(TH!F$1,SMALL(Dong6,ROWS($1:37)),))</f>
        <v>VAT Phí chuyển tiền</v>
      </c>
      <c r="E47" s="776">
        <f t="shared" ca="1" si="1"/>
        <v>37</v>
      </c>
      <c r="F47" s="778" t="str">
        <f ca="1">IF(ROWS($1:37)&gt;COUNT(Dong6),"",OFFSET(TH!L$1,SMALL(Dong6,ROWS($1:37)),))</f>
        <v>1331</v>
      </c>
      <c r="G47" s="778" t="str">
        <f ca="1">IF(ROWS($1:37)&gt;COUNT(Dong6),"",OFFSET(TH!M$1,SMALL(Dong6,ROWS($1:37)),))</f>
        <v>1121</v>
      </c>
      <c r="H47" s="674">
        <f ca="1">IF(ROWS($1:37)&gt;COUNT(Dong6),"",OFFSET(TH!K$1,SMALL(Dong6,ROWS($1:37)),))</f>
        <v>1363</v>
      </c>
      <c r="I47" s="674">
        <f ca="1">IF(ROWS($1:37)&gt;COUNT(Dong6),"",OFFSET(TH!K$1,SMALL(Dong6,ROWS($1:37)),))</f>
        <v>1363</v>
      </c>
    </row>
    <row r="48" spans="1:9" s="767" customFormat="1" ht="21" customHeight="1">
      <c r="A48" s="775">
        <f ca="1">IF(ROWS($1:38)&gt;COUNT(Dong6),"",OFFSET(TH!C$1,SMALL(Dong6,ROWS($1:38)),))</f>
        <v>42558</v>
      </c>
      <c r="B48" s="776" t="str">
        <f ca="1">IF(ROWS($1:38)&gt;COUNT(Dong6),"",OFFSET(TH!D$1,SMALL(Dong6,ROWS($1:38)),))</f>
        <v>TP/X04</v>
      </c>
      <c r="C48" s="775">
        <f ca="1">IF(ROWS($1:38)&gt;COUNT(Dong6),"",OFFSET(TH!E$1,SMALL(Dong6,ROWS($1:38)),))</f>
        <v>42558</v>
      </c>
      <c r="D48" s="777" t="str">
        <f ca="1">IF(ROWS($1:38)&gt;COUNT(Dong6),"",OFFSET(TH!F$1,SMALL(Dong6,ROWS($1:38)),))</f>
        <v>Thùng (37.5x25.3x23.9)</v>
      </c>
      <c r="E48" s="776">
        <f t="shared" ca="1" si="1"/>
        <v>38</v>
      </c>
      <c r="F48" s="778" t="str">
        <f ca="1">IF(ROWS($1:38)&gt;COUNT(Dong6),"",OFFSET(TH!L$1,SMALL(Dong6,ROWS($1:38)),))</f>
        <v>131</v>
      </c>
      <c r="G48" s="778" t="str">
        <f ca="1">IF(ROWS($1:38)&gt;COUNT(Dong6),"",OFFSET(TH!M$1,SMALL(Dong6,ROWS($1:38)),))</f>
        <v>5112</v>
      </c>
      <c r="H48" s="674">
        <f ca="1">IF(ROWS($1:38)&gt;COUNT(Dong6),"",OFFSET(TH!K$1,SMALL(Dong6,ROWS($1:38)),))</f>
        <v>9115500</v>
      </c>
      <c r="I48" s="674">
        <f ca="1">IF(ROWS($1:38)&gt;COUNT(Dong6),"",OFFSET(TH!K$1,SMALL(Dong6,ROWS($1:38)),))</f>
        <v>9115500</v>
      </c>
    </row>
    <row r="49" spans="1:10" s="767" customFormat="1" ht="21" customHeight="1">
      <c r="A49" s="775">
        <f ca="1">IF(ROWS($1:39)&gt;COUNT(Dong6),"",OFFSET(TH!C$1,SMALL(Dong6,ROWS($1:39)),))</f>
        <v>42558</v>
      </c>
      <c r="B49" s="776" t="str">
        <f ca="1">IF(ROWS($1:39)&gt;COUNT(Dong6),"",OFFSET(TH!D$1,SMALL(Dong6,ROWS($1:39)),))</f>
        <v>TP/X04</v>
      </c>
      <c r="C49" s="775">
        <f ca="1">IF(ROWS($1:39)&gt;COUNT(Dong6),"",OFFSET(TH!E$1,SMALL(Dong6,ROWS($1:39)),))</f>
        <v>42558</v>
      </c>
      <c r="D49" s="777" t="str">
        <f ca="1">IF(ROWS($1:39)&gt;COUNT(Dong6),"",OFFSET(TH!F$1,SMALL(Dong6,ROWS($1:39)),))</f>
        <v>Thùng (37.5x25.3x23.9)</v>
      </c>
      <c r="E49" s="776">
        <f t="shared" ca="1" si="1"/>
        <v>39</v>
      </c>
      <c r="F49" s="778" t="str">
        <f ca="1">IF(ROWS($1:39)&gt;COUNT(Dong6),"",OFFSET(TH!L$1,SMALL(Dong6,ROWS($1:39)),))</f>
        <v>131</v>
      </c>
      <c r="G49" s="778" t="str">
        <f ca="1">IF(ROWS($1:39)&gt;COUNT(Dong6),"",OFFSET(TH!M$1,SMALL(Dong6,ROWS($1:39)),))</f>
        <v>5112</v>
      </c>
      <c r="H49" s="674">
        <f ca="1">IF(ROWS($1:39)&gt;COUNT(Dong6),"",OFFSET(TH!K$1,SMALL(Dong6,ROWS($1:39)),))</f>
        <v>4080700</v>
      </c>
      <c r="I49" s="674">
        <f ca="1">IF(ROWS($1:39)&gt;COUNT(Dong6),"",OFFSET(TH!K$1,SMALL(Dong6,ROWS($1:39)),))</f>
        <v>4080700</v>
      </c>
    </row>
    <row r="50" spans="1:10" s="767" customFormat="1" ht="21" customHeight="1">
      <c r="A50" s="775">
        <f ca="1">IF(ROWS($1:40)&gt;COUNT(Dong6),"",OFFSET(TH!C$1,SMALL(Dong6,ROWS($1:40)),))</f>
        <v>42558</v>
      </c>
      <c r="B50" s="776" t="str">
        <f ca="1">IF(ROWS($1:40)&gt;COUNT(Dong6),"",OFFSET(TH!D$1,SMALL(Dong6,ROWS($1:40)),))</f>
        <v>TP/X04</v>
      </c>
      <c r="C50" s="775">
        <f ca="1">IF(ROWS($1:40)&gt;COUNT(Dong6),"",OFFSET(TH!E$1,SMALL(Dong6,ROWS($1:40)),))</f>
        <v>42558</v>
      </c>
      <c r="D50" s="777" t="str">
        <f ca="1">IF(ROWS($1:40)&gt;COUNT(Dong6),"",OFFSET(TH!F$1,SMALL(Dong6,ROWS($1:40)),))</f>
        <v>VAT Thùng</v>
      </c>
      <c r="E50" s="776">
        <f t="shared" ca="1" si="1"/>
        <v>40</v>
      </c>
      <c r="F50" s="778" t="str">
        <f ca="1">IF(ROWS($1:40)&gt;COUNT(Dong6),"",OFFSET(TH!L$1,SMALL(Dong6,ROWS($1:40)),))</f>
        <v>131</v>
      </c>
      <c r="G50" s="778" t="str">
        <f ca="1">IF(ROWS($1:40)&gt;COUNT(Dong6),"",OFFSET(TH!M$1,SMALL(Dong6,ROWS($1:40)),))</f>
        <v>3331</v>
      </c>
      <c r="H50" s="674">
        <f ca="1">IF(ROWS($1:40)&gt;COUNT(Dong6),"",OFFSET(TH!K$1,SMALL(Dong6,ROWS($1:40)),))</f>
        <v>1319620</v>
      </c>
      <c r="I50" s="674">
        <f ca="1">IF(ROWS($1:40)&gt;COUNT(Dong6),"",OFFSET(TH!K$1,SMALL(Dong6,ROWS($1:40)),))</f>
        <v>1319620</v>
      </c>
    </row>
    <row r="51" spans="1:10" s="767" customFormat="1" ht="21" customHeight="1">
      <c r="A51" s="775"/>
      <c r="B51" s="776"/>
      <c r="C51" s="775"/>
      <c r="D51" s="777"/>
      <c r="E51" s="776"/>
      <c r="F51" s="778"/>
      <c r="G51" s="778"/>
      <c r="H51" s="674"/>
      <c r="I51" s="674"/>
    </row>
    <row r="52" spans="1:10" s="767" customFormat="1" ht="21" customHeight="1">
      <c r="A52" s="779"/>
      <c r="B52" s="779"/>
      <c r="C52" s="779"/>
      <c r="D52" s="780" t="s">
        <v>350</v>
      </c>
      <c r="E52" s="781" t="s">
        <v>19</v>
      </c>
      <c r="F52" s="781"/>
      <c r="G52" s="781" t="s">
        <v>19</v>
      </c>
      <c r="H52" s="782">
        <f ca="1">SUBTOTAL(9,$H$10:$H$51)</f>
        <v>14676367678</v>
      </c>
      <c r="I52" s="782">
        <f ca="1">SUBTOTAL(9,I10:I51)</f>
        <v>14676367678</v>
      </c>
    </row>
    <row r="53" spans="1:10" s="767" customFormat="1" ht="15">
      <c r="A53" s="783" t="s">
        <v>416</v>
      </c>
    </row>
    <row r="54" spans="1:10" s="767" customFormat="1" ht="15">
      <c r="A54" s="783" t="str">
        <f ca="1">"- Ngày mở sổ: "&amp;DAY($A$11)&amp;"/"&amp;MONTH($A$11)&amp;"/ " &amp;YEAR($A$11)</f>
        <v>- Ngày mở sổ: 1/7/ 2016</v>
      </c>
    </row>
    <row r="55" spans="1:10" s="767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4"/>
      <c r="J55" s="784"/>
    </row>
    <row r="56" spans="1:10" s="767" customFormat="1" ht="15">
      <c r="B56" s="784" t="s">
        <v>347</v>
      </c>
      <c r="D56" s="784" t="s">
        <v>12</v>
      </c>
      <c r="H56" s="784" t="s">
        <v>348</v>
      </c>
      <c r="I56" s="784"/>
      <c r="J56" s="784"/>
    </row>
    <row r="57" spans="1:10" s="767" customFormat="1" ht="15">
      <c r="B57" s="784" t="s">
        <v>13</v>
      </c>
      <c r="D57" s="784" t="s">
        <v>13</v>
      </c>
      <c r="H57" s="784" t="s">
        <v>136</v>
      </c>
      <c r="I57" s="784"/>
      <c r="J57" s="784"/>
    </row>
    <row r="58" spans="1:10" s="76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23" t="s">
        <v>145</v>
      </c>
      <c r="H2" s="1023"/>
      <c r="I2" s="1023"/>
    </row>
    <row r="3" spans="1:9" ht="15.75" customHeight="1">
      <c r="A3" s="1" t="str">
        <f>TH!A2</f>
        <v>Địa chỉ: 1A227/1 Ấp 1, Phạm Văn Hai, Bình Chánh, TPHCM</v>
      </c>
      <c r="G3" s="102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4"/>
      <c r="I3" s="1024"/>
    </row>
    <row r="4" spans="1:9">
      <c r="F4" s="17"/>
      <c r="G4" s="1024"/>
      <c r="H4" s="1024"/>
      <c r="I4" s="1024"/>
    </row>
    <row r="5" spans="1:9" ht="17.25" customHeight="1">
      <c r="A5" s="1025" t="s">
        <v>146</v>
      </c>
      <c r="B5" s="1025"/>
      <c r="C5" s="1025"/>
      <c r="D5" s="1025"/>
      <c r="E5" s="1025"/>
      <c r="F5" s="1025"/>
      <c r="G5" s="1025"/>
      <c r="H5" s="1025"/>
      <c r="I5" s="1025"/>
    </row>
    <row r="6" spans="1:9">
      <c r="A6" s="1026" t="s">
        <v>147</v>
      </c>
      <c r="B6" s="1027"/>
      <c r="C6" s="1027"/>
      <c r="D6" s="1027"/>
      <c r="E6" s="1027"/>
      <c r="F6" s="1027"/>
      <c r="G6" s="1027"/>
      <c r="H6" s="1027"/>
      <c r="I6" s="102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7" t="s">
        <v>29</v>
      </c>
      <c r="B9" s="1028"/>
      <c r="C9" s="1028"/>
      <c r="D9" s="1028"/>
      <c r="E9" s="1028"/>
      <c r="F9" s="1028"/>
      <c r="G9" s="1028"/>
      <c r="H9" s="1028"/>
      <c r="I9" s="1028"/>
    </row>
    <row r="10" spans="1:9" ht="9.75" customHeight="1">
      <c r="C10" s="1029"/>
      <c r="D10" s="1030"/>
      <c r="E10" s="1030"/>
      <c r="F10" s="1030"/>
      <c r="G10" s="1030"/>
      <c r="H10" s="1030"/>
      <c r="I10" s="1030"/>
    </row>
    <row r="11" spans="1:9" s="18" customFormat="1" ht="19.5" customHeight="1">
      <c r="A11" s="1031" t="s">
        <v>20</v>
      </c>
      <c r="B11" s="1021" t="s">
        <v>1</v>
      </c>
      <c r="C11" s="1032"/>
      <c r="D11" s="1031" t="s">
        <v>0</v>
      </c>
      <c r="E11" s="1031" t="s">
        <v>14</v>
      </c>
      <c r="F11" s="1021" t="s">
        <v>21</v>
      </c>
      <c r="G11" s="1032"/>
      <c r="H11" s="1021" t="s">
        <v>31</v>
      </c>
      <c r="I11" s="1022"/>
    </row>
    <row r="12" spans="1:9" s="18" customFormat="1" ht="32.25" customHeight="1">
      <c r="A12" s="1031"/>
      <c r="B12" s="242" t="s">
        <v>15</v>
      </c>
      <c r="C12" s="242" t="s">
        <v>32</v>
      </c>
      <c r="D12" s="1031"/>
      <c r="E12" s="103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235767106</v>
      </c>
      <c r="H15" s="247">
        <f ca="1">IF(D15&lt;&gt;"",MAX(H14+F15-G15-I14,0),0)</f>
        <v>0</v>
      </c>
      <c r="I15" s="247">
        <f ca="1">IF(D15&lt;&gt;"",MAX(I14+G15-H14-F15,0),0)</f>
        <v>235767106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225017106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214447106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203637106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198262106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192887106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187497106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182107106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176702106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171327106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165937106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160547106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155142106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154837561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154832561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154817561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154802561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154787561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154772561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154752561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154737561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154727561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154705561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154695561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154680561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154665561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154650561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154635561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154620561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154570561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154555561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154540561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154530561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154515561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154500561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153916561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153896561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153876561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153861561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153847925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153834289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153820653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153811562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153797926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153284290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152770654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235767106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152770654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9" t="str">
        <f ca="1">"Ngày 31 tháng  12  năm  "&amp;YEAR($A$15)</f>
        <v>Ngày 31 tháng  12  năm  2016</v>
      </c>
      <c r="F67" s="1019"/>
      <c r="G67" s="1019"/>
      <c r="H67" s="1019"/>
      <c r="I67" s="1019"/>
    </row>
    <row r="68" spans="1:9" s="18" customFormat="1" ht="12.75">
      <c r="A68" s="1019" t="s">
        <v>11</v>
      </c>
      <c r="B68" s="1019"/>
      <c r="C68" s="1019"/>
      <c r="D68" s="1019"/>
      <c r="E68" s="1019" t="s">
        <v>12</v>
      </c>
      <c r="F68" s="1019"/>
      <c r="G68" s="1019"/>
      <c r="H68" s="1019"/>
      <c r="I68" s="1019"/>
    </row>
    <row r="69" spans="1:9" s="18" customFormat="1" ht="12.75">
      <c r="A69" s="1019" t="s">
        <v>13</v>
      </c>
      <c r="B69" s="1019"/>
      <c r="C69" s="1019"/>
      <c r="D69" s="1019"/>
      <c r="E69" s="1019" t="s">
        <v>13</v>
      </c>
      <c r="F69" s="1019"/>
      <c r="G69" s="1019"/>
      <c r="H69" s="1019"/>
      <c r="I69" s="101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0"/>
      <c r="B76" s="1020"/>
      <c r="C76" s="1020"/>
      <c r="D76" s="102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23" t="s">
        <v>119</v>
      </c>
      <c r="H1" s="1023"/>
      <c r="I1" s="1023"/>
      <c r="J1" s="102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4"/>
      <c r="I2" s="1024"/>
      <c r="J2" s="1024"/>
    </row>
    <row r="3" spans="1:15" s="3" customFormat="1" ht="16.5" customHeight="1">
      <c r="A3" s="4"/>
      <c r="B3" s="16"/>
      <c r="C3" s="109"/>
      <c r="D3" s="109"/>
      <c r="E3" s="16"/>
      <c r="G3" s="1024"/>
      <c r="H3" s="1024"/>
      <c r="I3" s="1024"/>
      <c r="J3" s="102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33" t="s">
        <v>120</v>
      </c>
      <c r="B5" s="1033"/>
      <c r="C5" s="1033"/>
      <c r="D5" s="1033"/>
      <c r="E5" s="1033"/>
      <c r="F5" s="1033"/>
      <c r="G5" s="1033"/>
      <c r="H5" s="1033"/>
      <c r="I5" s="1033"/>
      <c r="J5" s="1033"/>
    </row>
    <row r="6" spans="1:15" ht="14.25" customHeight="1">
      <c r="A6" s="1035" t="str">
        <f ca="1">$L$11&amp;" / "&amp;YEAR($A$14)</f>
        <v>Quý III / 2016</v>
      </c>
      <c r="B6" s="1035"/>
      <c r="C6" s="1035"/>
      <c r="D6" s="1035"/>
      <c r="E6" s="1035"/>
      <c r="F6" s="1035"/>
      <c r="G6" s="1035"/>
      <c r="H6" s="1035"/>
      <c r="I6" s="1035"/>
      <c r="J6" s="1035"/>
    </row>
    <row r="7" spans="1:15">
      <c r="A7" s="1034" t="s">
        <v>121</v>
      </c>
      <c r="B7" s="1034"/>
      <c r="C7" s="1034"/>
      <c r="D7" s="1034"/>
      <c r="E7" s="1034"/>
      <c r="F7" s="1034"/>
      <c r="G7" s="1034"/>
      <c r="H7" s="1034"/>
      <c r="I7" s="1034"/>
      <c r="J7" s="1034"/>
    </row>
    <row r="8" spans="1:15">
      <c r="A8" s="1034" t="s">
        <v>122</v>
      </c>
      <c r="B8" s="1034"/>
      <c r="C8" s="1034"/>
      <c r="D8" s="1034"/>
      <c r="E8" s="1034"/>
      <c r="F8" s="1034"/>
      <c r="G8" s="1034"/>
      <c r="H8" s="1034"/>
      <c r="I8" s="1034"/>
      <c r="J8" s="1034"/>
    </row>
    <row r="9" spans="1:15">
      <c r="A9" s="112"/>
      <c r="I9" s="112" t="s">
        <v>123</v>
      </c>
    </row>
    <row r="10" spans="1:15" ht="33" customHeight="1" thickBot="1">
      <c r="A10" s="1037" t="s">
        <v>20</v>
      </c>
      <c r="B10" s="1037" t="s">
        <v>124</v>
      </c>
      <c r="C10" s="1036" t="s">
        <v>125</v>
      </c>
      <c r="D10" s="1036"/>
      <c r="E10" s="1036" t="s">
        <v>0</v>
      </c>
      <c r="F10" s="1037" t="s">
        <v>14</v>
      </c>
      <c r="G10" s="1036" t="s">
        <v>21</v>
      </c>
      <c r="H10" s="1036"/>
      <c r="I10" s="1036" t="s">
        <v>126</v>
      </c>
      <c r="J10" s="1036" t="s">
        <v>127</v>
      </c>
      <c r="L10" s="574"/>
      <c r="N10" s="1011" t="s">
        <v>331</v>
      </c>
      <c r="O10" s="1011"/>
    </row>
    <row r="11" spans="1:15" ht="24" customHeight="1" thickBot="1">
      <c r="A11" s="1038"/>
      <c r="B11" s="1038"/>
      <c r="C11" s="113" t="s">
        <v>128</v>
      </c>
      <c r="D11" s="113" t="s">
        <v>129</v>
      </c>
      <c r="E11" s="1036"/>
      <c r="F11" s="1038"/>
      <c r="G11" s="113" t="s">
        <v>22</v>
      </c>
      <c r="H11" s="113" t="s">
        <v>23</v>
      </c>
      <c r="I11" s="1036"/>
      <c r="J11" s="1036"/>
      <c r="L11" s="178" t="s">
        <v>410</v>
      </c>
      <c r="N11" s="595">
        <f>IF(L11="Quý I",1,IF(L11="Quý II",4,IF(L11="Quý III",7,IF(L11="Quý IV",10,""))))</f>
        <v>7</v>
      </c>
      <c r="O11" s="59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6"/>
      <c r="O12" s="596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1685647338</v>
      </c>
      <c r="J13" s="117"/>
      <c r="N13" s="597"/>
      <c r="O13" s="597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1664087338</v>
      </c>
      <c r="J14" s="126"/>
      <c r="N14" s="598"/>
      <c r="O14" s="598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1642467338</v>
      </c>
      <c r="J15" s="126"/>
      <c r="N15" s="598"/>
      <c r="O15" s="598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1620967338</v>
      </c>
      <c r="J16" s="126"/>
      <c r="N16" s="598"/>
      <c r="O16" s="598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1612467338</v>
      </c>
      <c r="J17" s="126"/>
      <c r="N17" s="598"/>
      <c r="O17" s="598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1602467338</v>
      </c>
      <c r="J18" s="126"/>
      <c r="N18" s="598"/>
      <c r="O18" s="598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1576467338</v>
      </c>
      <c r="J19" s="126"/>
      <c r="N19" s="598"/>
      <c r="O19" s="598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1592467338</v>
      </c>
      <c r="J20" s="126"/>
      <c r="N20" s="598"/>
      <c r="O20" s="598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1559657338</v>
      </c>
      <c r="J21" s="126"/>
      <c r="N21" s="598"/>
      <c r="O21" s="598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1582657338</v>
      </c>
      <c r="J22" s="126"/>
      <c r="N22" s="598"/>
      <c r="O22" s="598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1578477338</v>
      </c>
      <c r="J23" s="126"/>
      <c r="N23" s="598"/>
      <c r="O23" s="598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1570977338</v>
      </c>
      <c r="J24" s="126"/>
      <c r="N24" s="598"/>
      <c r="O24" s="598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1560977338</v>
      </c>
      <c r="J25" s="126"/>
      <c r="N25" s="598"/>
      <c r="O25" s="598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1547752338</v>
      </c>
      <c r="J26" s="126"/>
      <c r="N26" s="598"/>
      <c r="O26" s="598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1546752338</v>
      </c>
      <c r="J27" s="126"/>
      <c r="N27" s="598"/>
      <c r="O27" s="598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1593052338</v>
      </c>
      <c r="J28" s="126"/>
      <c r="N28" s="598"/>
      <c r="O28" s="598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-426947662</v>
      </c>
      <c r="J29" s="126"/>
      <c r="N29" s="598"/>
      <c r="O29" s="598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-413447662</v>
      </c>
      <c r="J30" s="126"/>
      <c r="N30" s="598"/>
      <c r="O30" s="598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1986552338</v>
      </c>
      <c r="J31" s="126"/>
      <c r="N31" s="598"/>
      <c r="O31" s="598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1991052338</v>
      </c>
      <c r="J32" s="126"/>
      <c r="N32" s="598"/>
      <c r="O32" s="598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1999852338</v>
      </c>
      <c r="J33" s="126"/>
      <c r="N33" s="598"/>
      <c r="O33" s="598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2099852338</v>
      </c>
      <c r="J34" s="126"/>
      <c r="N34" s="598"/>
      <c r="O34" s="598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2100377545</v>
      </c>
      <c r="J35" s="126"/>
      <c r="N35" s="598"/>
      <c r="O35" s="598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2083657545</v>
      </c>
      <c r="J36" s="126"/>
      <c r="N36" s="598"/>
      <c r="O36" s="598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2085957545</v>
      </c>
      <c r="J37" s="126"/>
      <c r="N37" s="598"/>
      <c r="O37" s="598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2071957545</v>
      </c>
      <c r="J38" s="126"/>
      <c r="N38" s="598"/>
      <c r="O38" s="598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2065957545</v>
      </c>
      <c r="J39" s="126"/>
      <c r="N39" s="598"/>
      <c r="O39" s="598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2083957545</v>
      </c>
      <c r="J40" s="126"/>
      <c r="N40" s="598"/>
      <c r="O40" s="598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2086957545</v>
      </c>
      <c r="J41" s="126"/>
      <c r="N41" s="598"/>
      <c r="O41" s="598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2071457545</v>
      </c>
      <c r="J42" s="126"/>
      <c r="N42" s="598"/>
      <c r="O42" s="598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2068957545</v>
      </c>
      <c r="J43" s="126"/>
      <c r="N43" s="598"/>
      <c r="O43" s="598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2058957545</v>
      </c>
      <c r="J44" s="126"/>
      <c r="N44" s="598"/>
      <c r="O44" s="598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2075957545</v>
      </c>
      <c r="J45" s="126"/>
      <c r="N45" s="598"/>
      <c r="O45" s="598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2063417545</v>
      </c>
      <c r="J46" s="126"/>
      <c r="N46" s="598"/>
      <c r="O46" s="598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2060192620</v>
      </c>
      <c r="J47" s="126"/>
      <c r="N47" s="598"/>
      <c r="O47" s="598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598"/>
      <c r="O48" s="598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598"/>
      <c r="O49" s="598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2060192620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79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&amp;[2]!VND('IN-TC'!D13,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59"/>
      <c r="I1" s="231"/>
      <c r="K1" s="761"/>
      <c r="L1" s="761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9"/>
      <c r="H2" s="1039"/>
      <c r="I2" s="232"/>
      <c r="K2" s="762"/>
      <c r="L2" s="762"/>
    </row>
    <row r="3" spans="1:21" s="140" customFormat="1" ht="16.5" customHeight="1">
      <c r="A3" s="177"/>
      <c r="B3" s="177"/>
      <c r="C3" s="177"/>
      <c r="D3" s="177"/>
      <c r="F3" s="1039"/>
      <c r="G3" s="1039"/>
      <c r="H3" s="1039"/>
      <c r="I3" s="232"/>
    </row>
    <row r="4" spans="1:21" s="140" customFormat="1" ht="19.5" customHeight="1">
      <c r="A4" s="1042" t="s">
        <v>137</v>
      </c>
      <c r="B4" s="1042"/>
      <c r="C4" s="1042"/>
      <c r="D4" s="1042"/>
      <c r="E4" s="1042"/>
      <c r="F4" s="1042"/>
      <c r="G4" s="1042"/>
      <c r="H4" s="1042"/>
      <c r="I4" s="1042"/>
    </row>
    <row r="5" spans="1:21" s="140" customFormat="1" ht="15">
      <c r="A5" s="104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43"/>
      <c r="C5" s="1043"/>
      <c r="D5" s="1043"/>
      <c r="E5" s="1043"/>
      <c r="F5" s="1043"/>
      <c r="G5" s="1043"/>
      <c r="H5" s="1043"/>
      <c r="I5" s="1043"/>
    </row>
    <row r="6" spans="1:21" s="140" customFormat="1" ht="15">
      <c r="D6" s="260" t="s">
        <v>158</v>
      </c>
      <c r="E6" s="1043" t="str">
        <f>IF($M$9="ACB","100983119","1004 148 5104 6511")</f>
        <v>1004 148 5104 6511</v>
      </c>
      <c r="F6" s="1043"/>
      <c r="G6" s="1043"/>
      <c r="H6" s="560" t="s">
        <v>108</v>
      </c>
      <c r="I6" s="261" t="str">
        <f>IF(H6="VNĐ","1121",IF(H6="USD","1122",""))</f>
        <v>1121</v>
      </c>
      <c r="N6" s="1034" t="s">
        <v>331</v>
      </c>
      <c r="O6" s="1034"/>
      <c r="Q6" s="1040" t="s">
        <v>272</v>
      </c>
      <c r="R6" s="1040" t="s">
        <v>332</v>
      </c>
      <c r="S6" s="1040" t="s">
        <v>784</v>
      </c>
      <c r="T6" s="1040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1"/>
      <c r="I7" s="144"/>
      <c r="Q7" s="1041"/>
      <c r="R7" s="1041"/>
      <c r="S7" s="1041"/>
      <c r="T7" s="1041"/>
    </row>
    <row r="8" spans="1:21" s="145" customFormat="1" ht="22.5" customHeight="1" thickBot="1">
      <c r="A8" s="1046" t="s">
        <v>138</v>
      </c>
      <c r="B8" s="1048" t="s">
        <v>1</v>
      </c>
      <c r="C8" s="1049"/>
      <c r="D8" s="1044" t="s">
        <v>0</v>
      </c>
      <c r="E8" s="1050" t="s">
        <v>14</v>
      </c>
      <c r="F8" s="1052" t="s">
        <v>139</v>
      </c>
      <c r="G8" s="1052"/>
      <c r="H8" s="1049"/>
      <c r="I8" s="1044" t="s">
        <v>127</v>
      </c>
      <c r="K8" s="138"/>
      <c r="L8" s="140"/>
      <c r="N8" s="568">
        <f>IF(K9="Quý I",1,IF(K9="Quý II",4,IF(K9="Quý III",7,IF(K9="Quý IV",10,""))))</f>
        <v>10</v>
      </c>
      <c r="O8" s="569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47"/>
      <c r="B9" s="146" t="s">
        <v>15</v>
      </c>
      <c r="C9" s="147" t="s">
        <v>140</v>
      </c>
      <c r="D9" s="1045"/>
      <c r="E9" s="1051"/>
      <c r="F9" s="253" t="s">
        <v>141</v>
      </c>
      <c r="G9" s="148" t="s">
        <v>142</v>
      </c>
      <c r="H9" s="562" t="s">
        <v>143</v>
      </c>
      <c r="I9" s="1045"/>
      <c r="K9" s="178" t="s">
        <v>1500</v>
      </c>
      <c r="L9" s="140"/>
      <c r="M9" s="437" t="s">
        <v>1318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0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0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0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0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0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0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0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0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0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0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0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0">
        <f t="shared" ca="1" si="0"/>
        <v>190587490</v>
      </c>
      <c r="I23" s="442"/>
      <c r="L23" s="140"/>
      <c r="Q23" s="558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0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0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0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0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0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0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0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0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0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0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0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0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0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0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0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0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0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0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0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0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0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0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0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0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0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0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0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0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0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0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0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0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0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0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0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0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0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0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0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0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0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0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0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0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0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0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0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0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0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0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0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0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0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0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0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0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0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0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0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0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0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0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0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0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0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0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0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0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0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0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0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0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0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0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0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0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0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0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0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0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0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0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0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0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0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0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0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0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0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0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0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0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0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0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0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0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0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0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0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0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0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0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0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0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0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0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0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0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0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0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0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3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3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3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4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3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21" activePane="bottomLeft" state="frozen"/>
      <selection activeCell="A4" sqref="A4"/>
      <selection pane="bottomLeft" activeCell="C33" sqref="C3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785" t="str">
        <f>TH!$A$1</f>
        <v>Đơn vị: CÔNG TY TNHH SX TM KIM DUNG PHÁT</v>
      </c>
    </row>
    <row r="2" spans="1:9">
      <c r="A2" s="786" t="str">
        <f>TH!$A$2</f>
        <v>Địa chỉ: 1A227/1 Ấp 1, Phạm Văn Hai, Bình Chánh, TPHCM</v>
      </c>
    </row>
    <row r="3" spans="1:9" ht="27" customHeight="1">
      <c r="A3" s="1054" t="s">
        <v>338</v>
      </c>
      <c r="B3" s="1054"/>
      <c r="C3" s="1054"/>
      <c r="D3" s="1054"/>
      <c r="E3" s="1054"/>
      <c r="F3" s="1054"/>
      <c r="G3" s="1054"/>
      <c r="H3" s="1054"/>
    </row>
    <row r="4" spans="1:9" s="10" customFormat="1" ht="14.25" customHeight="1">
      <c r="A4" s="1055" t="s">
        <v>35</v>
      </c>
      <c r="B4" s="1057" t="s">
        <v>36</v>
      </c>
      <c r="C4" s="1059" t="s">
        <v>37</v>
      </c>
      <c r="D4" s="1060"/>
      <c r="E4" s="1059" t="s">
        <v>38</v>
      </c>
      <c r="F4" s="1060"/>
      <c r="G4" s="1059" t="s">
        <v>41</v>
      </c>
      <c r="H4" s="1060"/>
    </row>
    <row r="5" spans="1:9" s="10" customFormat="1" ht="14.25" customHeight="1">
      <c r="A5" s="1056"/>
      <c r="B5" s="1058"/>
      <c r="C5" s="576" t="s">
        <v>42</v>
      </c>
      <c r="D5" s="576" t="s">
        <v>43</v>
      </c>
      <c r="E5" s="576" t="s">
        <v>42</v>
      </c>
      <c r="F5" s="576" t="s">
        <v>43</v>
      </c>
      <c r="G5" s="576" t="s">
        <v>42</v>
      </c>
      <c r="H5" s="576" t="s">
        <v>43</v>
      </c>
    </row>
    <row r="6" spans="1:9" s="10" customFormat="1" ht="16.5" customHeight="1">
      <c r="A6" s="6">
        <f t="shared" ref="A6:A38" si="0">IF(B6&lt;&gt;"",ROW()-5,"")</f>
        <v>1</v>
      </c>
      <c r="B6" s="749" t="s">
        <v>808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639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531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44">
        <f t="shared" si="1"/>
        <v>0</v>
      </c>
      <c r="H8" s="744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421</v>
      </c>
      <c r="C9" s="8">
        <v>15872091</v>
      </c>
      <c r="D9" s="8"/>
      <c r="E9" s="8">
        <f t="array" ref="E9">SUM(IF("131"&amp;B9=KHN&amp;KH,TH))</f>
        <v>252558122</v>
      </c>
      <c r="F9" s="8">
        <f t="array" ref="F9">SUM(IF("131"&amp;B9=KHC&amp;KH,TH))</f>
        <v>242614179</v>
      </c>
      <c r="G9" s="744">
        <f t="shared" si="1"/>
        <v>25816034</v>
      </c>
      <c r="H9" s="744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447</v>
      </c>
      <c r="C10" s="8"/>
      <c r="D10" s="8"/>
      <c r="E10" s="8">
        <f t="array" ref="E10">SUM(IF("131"&amp;B10=KHN&amp;KH,TH))</f>
        <v>55184470</v>
      </c>
      <c r="F10" s="8">
        <f t="array" ref="F10">SUM(IF("131"&amp;B10=KHC&amp;KH,TH))</f>
        <v>0</v>
      </c>
      <c r="G10" s="744">
        <f t="shared" si="1"/>
        <v>55184470</v>
      </c>
      <c r="H10" s="744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587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44">
        <f t="shared" si="1"/>
        <v>18910188</v>
      </c>
      <c r="H11" s="744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667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44">
        <f t="shared" si="1"/>
        <v>0</v>
      </c>
      <c r="H12" s="744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581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44">
        <f t="shared" si="1"/>
        <v>3322000</v>
      </c>
      <c r="H13" s="744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678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44">
        <f t="shared" si="1"/>
        <v>0</v>
      </c>
      <c r="H14" s="744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811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44">
        <f t="shared" si="1"/>
        <v>41646600</v>
      </c>
      <c r="H15" s="744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44">
        <f t="shared" si="1"/>
        <v>0</v>
      </c>
      <c r="H16" s="744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454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44">
        <f t="shared" si="1"/>
        <v>1573000</v>
      </c>
      <c r="H17" s="744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44">
        <f t="shared" si="1"/>
        <v>979712</v>
      </c>
      <c r="H18" s="744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684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44">
        <f t="shared" si="1"/>
        <v>9918295</v>
      </c>
      <c r="H19" s="744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44">
        <f t="shared" si="1"/>
        <v>170541840</v>
      </c>
      <c r="H20" s="744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642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44">
        <f t="shared" si="1"/>
        <v>15365350</v>
      </c>
      <c r="H21" s="744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429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44">
        <f t="shared" si="1"/>
        <v>177960860</v>
      </c>
      <c r="H22" s="744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458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44">
        <f t="shared" si="1"/>
        <v>0</v>
      </c>
      <c r="H23" s="744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645</v>
      </c>
      <c r="C24" s="8">
        <v>28612800</v>
      </c>
      <c r="D24" s="8"/>
      <c r="E24" s="8">
        <f t="array" ref="E24">SUM(IF("131"&amp;B24=KHN&amp;KH,TH))</f>
        <v>335431060</v>
      </c>
      <c r="F24" s="8">
        <f t="array" ref="F24">SUM(IF("131"&amp;B24=KHC&amp;KH,TH))</f>
        <v>346188260</v>
      </c>
      <c r="G24" s="744">
        <f t="shared" si="1"/>
        <v>17855600</v>
      </c>
      <c r="H24" s="744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44">
        <f t="shared" si="1"/>
        <v>119939270</v>
      </c>
      <c r="H25" s="744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814</v>
      </c>
      <c r="C26" s="8"/>
      <c r="D26" s="8"/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44">
        <f t="shared" si="1"/>
        <v>4171860</v>
      </c>
      <c r="H26" s="744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1299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44">
        <f t="shared" si="1"/>
        <v>5193760</v>
      </c>
      <c r="H27" s="744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816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44">
        <f t="shared" si="1"/>
        <v>0</v>
      </c>
      <c r="H28" s="744">
        <f t="shared" si="2"/>
        <v>2101495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809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44">
        <f t="shared" si="1"/>
        <v>6971000</v>
      </c>
      <c r="H29" s="744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1235</v>
      </c>
      <c r="C30" s="8"/>
      <c r="D30" s="8"/>
      <c r="E30" s="8">
        <f t="array" ref="E30">SUM(IF("131"&amp;B30=KHN&amp;KH,TH))</f>
        <v>104238506</v>
      </c>
      <c r="F30" s="8">
        <f t="array" ref="F30">SUM(IF("131"&amp;B30=KHC&amp;KH,TH))</f>
        <v>0</v>
      </c>
      <c r="G30" s="744">
        <f t="shared" si="1"/>
        <v>104238506</v>
      </c>
      <c r="H30" s="744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1314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44">
        <f t="shared" si="1"/>
        <v>41893500</v>
      </c>
      <c r="H31" s="744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819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44">
        <f t="shared" si="1"/>
        <v>21081610</v>
      </c>
      <c r="H32" s="744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673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44">
        <f t="shared" si="1"/>
        <v>105748500</v>
      </c>
      <c r="H33" s="744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44">
        <f t="shared" si="1"/>
        <v>0</v>
      </c>
      <c r="H34" s="744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44">
        <f t="shared" si="1"/>
        <v>18388260</v>
      </c>
      <c r="H35" s="744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1315</v>
      </c>
      <c r="C36" s="8"/>
      <c r="D36" s="8"/>
      <c r="E36" s="8">
        <f t="array" ref="E36">SUM(IF("131"&amp;B36=KHN&amp;KH,TH))</f>
        <v>5663900</v>
      </c>
      <c r="F36" s="8">
        <f t="array" ref="F36">SUM(IF("131"&amp;B36=KHC&amp;KH,TH))</f>
        <v>0</v>
      </c>
      <c r="G36" s="744">
        <f t="shared" si="1"/>
        <v>5663900</v>
      </c>
      <c r="H36" s="744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1316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44">
        <f t="shared" si="1"/>
        <v>29260</v>
      </c>
      <c r="H37" s="744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828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44">
        <f t="shared" si="1"/>
        <v>16260844</v>
      </c>
      <c r="H38" s="744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1000</v>
      </c>
      <c r="C39" s="8"/>
      <c r="D39" s="8"/>
      <c r="E39" s="8">
        <f t="array" ref="E39">SUM(IF("131"&amp;B39=KHN&amp;KH,TH))</f>
        <v>4944500</v>
      </c>
      <c r="F39" s="8">
        <f t="array" ref="F39">SUM(IF("131"&amp;B39=KHC&amp;KH,TH))</f>
        <v>0</v>
      </c>
      <c r="G39" s="744">
        <f t="shared" ref="G39:G43" si="4">ROUND(MAX(C39+E39-D39-F39,0),2)</f>
        <v>4944500</v>
      </c>
      <c r="H39" s="744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829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44">
        <f t="shared" si="4"/>
        <v>0</v>
      </c>
      <c r="H40" s="744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574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44">
        <f t="shared" si="4"/>
        <v>4356000</v>
      </c>
      <c r="H41" s="744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1091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44">
        <f t="shared" si="4"/>
        <v>9671200</v>
      </c>
      <c r="H42" s="744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1292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44">
        <f t="shared" si="4"/>
        <v>0</v>
      </c>
      <c r="H43" s="744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1350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44">
        <f t="shared" ref="G44:G46" si="6">ROUND(MAX(C44+E44-D44-F44,0),2)</f>
        <v>1884130</v>
      </c>
      <c r="H44" s="744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1354</v>
      </c>
      <c r="C45" s="8"/>
      <c r="D45" s="8"/>
      <c r="E45" s="8">
        <f t="array" ref="E45">SUM(IF("131"&amp;B45=KHN&amp;KH,TH))</f>
        <v>21559230</v>
      </c>
      <c r="F45" s="8">
        <f t="array" ref="F45">SUM(IF("131"&amp;B45=KHC&amp;KH,TH))</f>
        <v>21559230</v>
      </c>
      <c r="G45" s="744">
        <f t="shared" si="6"/>
        <v>0</v>
      </c>
      <c r="H45" s="744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1359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44">
        <f t="shared" si="6"/>
        <v>15267890</v>
      </c>
      <c r="H46" s="744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1377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44">
        <f t="shared" ref="G47:G51" si="8">ROUND(MAX(C47+E47-D47-F47,0),2)</f>
        <v>6236802</v>
      </c>
      <c r="H47" s="744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1387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44">
        <f t="shared" si="8"/>
        <v>13551560</v>
      </c>
      <c r="H48" s="744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1395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44">
        <f t="shared" si="8"/>
        <v>3607537</v>
      </c>
      <c r="H49" s="744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1403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44">
        <f t="shared" si="8"/>
        <v>0</v>
      </c>
      <c r="H50" s="744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1426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44">
        <f t="shared" si="8"/>
        <v>10220378</v>
      </c>
      <c r="H51" s="744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1431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44">
        <f t="shared" ref="G52:G55" si="10">ROUND(MAX(C52+E52-D52-F52,0),2)</f>
        <v>0</v>
      </c>
      <c r="H52" s="744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1330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44">
        <f t="shared" si="10"/>
        <v>924000000</v>
      </c>
      <c r="H53" s="744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1503</v>
      </c>
      <c r="C54" s="8"/>
      <c r="D54" s="8"/>
      <c r="E54" s="8">
        <f t="array" ref="E54">SUM(IF("131"&amp;B54=KHN&amp;KH,TH))</f>
        <v>325949250</v>
      </c>
      <c r="F54" s="8">
        <f t="array" ref="F54">SUM(IF("131"&amp;B54=KHC&amp;KH,TH))</f>
        <v>325949250</v>
      </c>
      <c r="G54" s="744">
        <f t="shared" si="10"/>
        <v>0</v>
      </c>
      <c r="H54" s="744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1515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44">
        <f t="shared" si="10"/>
        <v>5471180</v>
      </c>
      <c r="H55" s="744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0</v>
      </c>
      <c r="E57" s="13">
        <f t="shared" si="13"/>
        <v>3943820631</v>
      </c>
      <c r="F57" s="13">
        <f t="shared" si="13"/>
        <v>2111079523</v>
      </c>
      <c r="G57" s="13">
        <f t="shared" si="13"/>
        <v>2034165721</v>
      </c>
      <c r="H57" s="13">
        <f t="shared" si="13"/>
        <v>2101495</v>
      </c>
    </row>
    <row r="58" spans="1:9">
      <c r="D58" s="183">
        <f>D57-CDPS!D14-CDPS!C14</f>
        <v>-2420564485</v>
      </c>
      <c r="E58" s="15">
        <f>E57-CDPS!E14</f>
        <v>0</v>
      </c>
      <c r="F58" s="15">
        <f>F57-CDPS!F14</f>
        <v>-7057303</v>
      </c>
      <c r="H58" s="183">
        <f>G57-H57-CDPS!G14-CDPS!H14</f>
        <v>-2214184064</v>
      </c>
    </row>
    <row r="59" spans="1:9">
      <c r="E59" s="15"/>
      <c r="F59" s="15"/>
    </row>
    <row r="61" spans="1:9">
      <c r="E61" s="15"/>
      <c r="F61" s="1053" t="s">
        <v>417</v>
      </c>
      <c r="G61" s="1053"/>
      <c r="H61" s="1053"/>
    </row>
    <row r="62" spans="1:9">
      <c r="F62" s="1053" t="s">
        <v>109</v>
      </c>
      <c r="G62" s="1053"/>
      <c r="H62" s="1053"/>
    </row>
    <row r="63" spans="1:9">
      <c r="E63" s="183"/>
      <c r="F63" s="1053" t="s">
        <v>136</v>
      </c>
      <c r="G63" s="1053"/>
      <c r="H63" s="1053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1" t="str">
        <f>TH!A1</f>
        <v>Đơn vị: CÔNG TY TNHH SX TM KIM DUNG PHÁT</v>
      </c>
      <c r="B1" s="573"/>
      <c r="C1" s="573"/>
      <c r="G1" s="2"/>
      <c r="H1" s="1063" t="s">
        <v>46</v>
      </c>
      <c r="I1" s="1063"/>
      <c r="J1" s="1063"/>
    </row>
    <row r="2" spans="1:10" s="435" customFormat="1" ht="14.25" customHeight="1">
      <c r="A2" s="580" t="str">
        <f>TH!A2</f>
        <v>Địa chỉ: 1A227/1 Ấp 1, Phạm Văn Hai, Bình Chánh, TPHCM</v>
      </c>
      <c r="B2" s="573"/>
      <c r="C2" s="573"/>
      <c r="G2" s="17"/>
      <c r="H2" s="106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4"/>
      <c r="J2" s="1064"/>
    </row>
    <row r="3" spans="1:10" s="435" customFormat="1" ht="14.25" customHeight="1">
      <c r="A3" s="575"/>
      <c r="B3" s="573"/>
      <c r="C3" s="573"/>
      <c r="G3" s="17"/>
      <c r="H3" s="1064"/>
      <c r="I3" s="1064"/>
      <c r="J3" s="1064"/>
    </row>
    <row r="4" spans="1:10" s="5" customFormat="1" ht="28.5" customHeight="1">
      <c r="A4" s="1065" t="s">
        <v>26</v>
      </c>
      <c r="B4" s="1065"/>
      <c r="C4" s="1065"/>
      <c r="D4" s="1065"/>
      <c r="E4" s="1065"/>
      <c r="F4" s="1065"/>
      <c r="G4" s="1065"/>
      <c r="H4" s="1065"/>
      <c r="I4" s="1065"/>
      <c r="J4" s="1065"/>
    </row>
    <row r="5" spans="1:10" s="18" customFormat="1" ht="14.25" customHeight="1">
      <c r="E5" s="571" t="s">
        <v>27</v>
      </c>
    </row>
    <row r="6" spans="1:10" s="18" customFormat="1" ht="14.25" customHeight="1">
      <c r="E6" s="571" t="s">
        <v>341</v>
      </c>
    </row>
    <row r="7" spans="1:10" s="18" customFormat="1" ht="14.25" customHeight="1">
      <c r="D7" s="20" t="s">
        <v>45</v>
      </c>
      <c r="E7" s="1066" t="s">
        <v>808</v>
      </c>
      <c r="F7" s="1066"/>
      <c r="G7" s="1066"/>
      <c r="H7" s="1066"/>
    </row>
    <row r="8" spans="1:10" s="18" customFormat="1" ht="14.25" customHeight="1">
      <c r="E8" s="571" t="s">
        <v>29</v>
      </c>
    </row>
    <row r="9" spans="1:10" s="18" customFormat="1" ht="6.75" customHeight="1">
      <c r="B9" s="571"/>
      <c r="C9" s="1067"/>
      <c r="D9" s="1067"/>
      <c r="E9" s="1067"/>
      <c r="F9" s="1067"/>
      <c r="G9" s="1067"/>
      <c r="H9" s="1067"/>
      <c r="I9" s="1067"/>
      <c r="J9" s="1067"/>
    </row>
    <row r="10" spans="1:10" s="18" customFormat="1" ht="14.25" customHeight="1">
      <c r="A10" s="1031" t="s">
        <v>20</v>
      </c>
      <c r="B10" s="1068" t="s">
        <v>1</v>
      </c>
      <c r="C10" s="1068"/>
      <c r="D10" s="1031" t="s">
        <v>0</v>
      </c>
      <c r="E10" s="1031" t="s">
        <v>14</v>
      </c>
      <c r="F10" s="1031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31"/>
      <c r="B11" s="30" t="s">
        <v>15</v>
      </c>
      <c r="C11" s="30" t="s">
        <v>32</v>
      </c>
      <c r="D11" s="1031"/>
      <c r="E11" s="1031"/>
      <c r="F11" s="10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7" t="s">
        <v>2</v>
      </c>
      <c r="B12" s="578" t="s">
        <v>3</v>
      </c>
      <c r="C12" s="577" t="s">
        <v>4</v>
      </c>
      <c r="D12" s="577" t="s">
        <v>5</v>
      </c>
      <c r="E12" s="577" t="s">
        <v>6</v>
      </c>
      <c r="F12" s="577">
        <v>1</v>
      </c>
      <c r="G12" s="577">
        <v>2</v>
      </c>
      <c r="H12" s="577">
        <v>3</v>
      </c>
      <c r="I12" s="577">
        <v>4</v>
      </c>
      <c r="J12" s="577">
        <v>5</v>
      </c>
    </row>
    <row r="13" spans="1:10" s="18" customFormat="1" ht="18" customHeight="1">
      <c r="A13" s="577"/>
      <c r="B13" s="577"/>
      <c r="C13" s="577"/>
      <c r="D13" s="23" t="s">
        <v>7</v>
      </c>
      <c r="E13" s="577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1806700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3002700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3302700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3693700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4133700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4617700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5128000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5700000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6283800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7027800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7730580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8456580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8806580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9406580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12196580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12643180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13136080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77"/>
      <c r="C32" s="26"/>
      <c r="D32" s="23" t="s">
        <v>33</v>
      </c>
      <c r="E32" s="577" t="s">
        <v>19</v>
      </c>
      <c r="F32" s="577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7"/>
      <c r="C33" s="577"/>
      <c r="D33" s="23" t="s">
        <v>10</v>
      </c>
      <c r="E33" s="577" t="s">
        <v>19</v>
      </c>
      <c r="F33" s="577" t="s">
        <v>19</v>
      </c>
      <c r="G33" s="27" t="s">
        <v>19</v>
      </c>
      <c r="H33" s="27" t="s">
        <v>19</v>
      </c>
      <c r="I33" s="27">
        <f ca="1">MAX(I13+G32-H32-J13,0)</f>
        <v>13136080</v>
      </c>
      <c r="J33" s="27">
        <f ca="1">MAX(J13+H32-G32-I13,0)</f>
        <v>0</v>
      </c>
    </row>
    <row r="34" spans="1:11" s="18" customFormat="1" ht="6" customHeight="1">
      <c r="B34" s="571"/>
      <c r="C34" s="571"/>
      <c r="E34" s="571"/>
    </row>
    <row r="35" spans="1:11" s="18" customFormat="1" ht="14.25" customHeight="1">
      <c r="A35" s="28" t="s">
        <v>152</v>
      </c>
      <c r="B35" s="571"/>
      <c r="C35" s="571"/>
      <c r="E35" s="571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1"/>
      <c r="C36" s="571"/>
      <c r="E36" s="571"/>
      <c r="K36" s="28" t="s">
        <v>34</v>
      </c>
    </row>
    <row r="37" spans="1:11" s="18" customFormat="1" ht="14.25" customHeight="1">
      <c r="B37" s="571"/>
      <c r="C37" s="571"/>
      <c r="E37" s="1019" t="str">
        <f ca="1">"Ngày 31 tháng  12  năm  "&amp;YEAR($A$14)</f>
        <v>Ngày 31 tháng  12  năm  2016</v>
      </c>
      <c r="F37" s="1019"/>
      <c r="G37" s="1019"/>
      <c r="H37" s="1019"/>
      <c r="I37" s="1019"/>
      <c r="J37" s="1019"/>
    </row>
    <row r="38" spans="1:11" s="18" customFormat="1" ht="14.25" customHeight="1">
      <c r="C38" s="571" t="s">
        <v>11</v>
      </c>
      <c r="E38" s="1019" t="s">
        <v>12</v>
      </c>
      <c r="F38" s="1019"/>
      <c r="G38" s="1019"/>
      <c r="H38" s="1019"/>
      <c r="I38" s="1019"/>
      <c r="J38" s="1019"/>
    </row>
    <row r="39" spans="1:11" s="18" customFormat="1" ht="14.25" customHeight="1">
      <c r="C39" s="571" t="s">
        <v>13</v>
      </c>
      <c r="E39" s="1019" t="s">
        <v>13</v>
      </c>
      <c r="F39" s="1019"/>
      <c r="G39" s="1019"/>
      <c r="H39" s="1019"/>
      <c r="I39" s="1019"/>
      <c r="J39" s="1019"/>
    </row>
    <row r="40" spans="1:11" s="29" customFormat="1"/>
    <row r="46" spans="1:11" ht="15">
      <c r="C46" s="572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18" activePane="bottomLeft" state="frozen"/>
      <selection pane="bottomLeft" activeCell="E25" sqref="E25:H2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85" t="str">
        <f>TH!$A$1</f>
        <v>Đơn vị: CÔNG TY TNHH SX TM KIM DUNG PHÁT</v>
      </c>
    </row>
    <row r="2" spans="1:10">
      <c r="A2" s="786" t="str">
        <f>TH!$A$2</f>
        <v>Địa chỉ: 1A227/1 Ấp 1, Phạm Văn Hai, Bình Chánh, TPHCM</v>
      </c>
    </row>
    <row r="3" spans="1:10" ht="27" customHeight="1">
      <c r="A3" s="1054" t="s">
        <v>102</v>
      </c>
      <c r="B3" s="1054"/>
      <c r="C3" s="1054"/>
      <c r="D3" s="1054"/>
      <c r="E3" s="1054"/>
      <c r="F3" s="1054"/>
      <c r="G3" s="1054"/>
      <c r="H3" s="1054"/>
    </row>
    <row r="4" spans="1:10" s="10" customFormat="1" ht="14.25" customHeight="1">
      <c r="A4" s="1055" t="s">
        <v>35</v>
      </c>
      <c r="B4" s="1057" t="s">
        <v>36</v>
      </c>
      <c r="C4" s="1059" t="s">
        <v>37</v>
      </c>
      <c r="D4" s="1060"/>
      <c r="E4" s="1059" t="s">
        <v>38</v>
      </c>
      <c r="F4" s="1060"/>
      <c r="G4" s="1059" t="s">
        <v>41</v>
      </c>
      <c r="H4" s="1060"/>
      <c r="I4" s="287"/>
    </row>
    <row r="5" spans="1:10" s="10" customFormat="1" ht="14.25" customHeight="1">
      <c r="A5" s="1056"/>
      <c r="B5" s="105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7" t="str">
        <f>IF(ISNA(VLOOKUP(B6,[3]!DSKH,1,0)),"","x")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50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IF(ISNA(VLOOKUP(B7,[3]!DSKH,1,0)),"","x")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50" t="s">
        <v>1387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44">
        <f t="shared" ref="G8" si="4">ROUND(MAX(C8+E8-D8-F8,0),2)</f>
        <v>0</v>
      </c>
      <c r="H8" s="744">
        <f t="shared" ref="H8" si="5">ROUND(MAX(D8+F8-C8-E8,0),2)</f>
        <v>0</v>
      </c>
      <c r="I8" s="287"/>
      <c r="J8" s="930"/>
    </row>
    <row r="9" spans="1:10" s="10" customFormat="1" ht="16.5" customHeight="1">
      <c r="A9" s="6">
        <f t="shared" si="2"/>
        <v>4</v>
      </c>
      <c r="B9" s="7" t="s">
        <v>889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7" t="str">
        <f>IF(ISNA(VLOOKUP(B9,[3]!DSKH,1,0)),"","x")</f>
        <v/>
      </c>
    </row>
    <row r="10" spans="1:10" s="10" customFormat="1" ht="16.5" customHeight="1">
      <c r="A10" s="6">
        <f t="shared" si="2"/>
        <v>5</v>
      </c>
      <c r="B10" s="7" t="s">
        <v>823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159181330</v>
      </c>
      <c r="G10" s="744">
        <f>ROUND(MAX(C10+E10-D10-F10,0),2)</f>
        <v>0</v>
      </c>
      <c r="H10" s="744">
        <f>ROUND(MAX(D10+F10-C10-E10,0),2)</f>
        <v>0</v>
      </c>
      <c r="I10" s="287" t="str">
        <f>IF(ISNA(VLOOKUP(B10,[3]!DSKH,1,0)),"","x")</f>
        <v/>
      </c>
      <c r="J10" s="930"/>
    </row>
    <row r="11" spans="1:10" s="10" customFormat="1" ht="16.5" customHeight="1">
      <c r="A11" s="6">
        <f t="shared" si="2"/>
        <v>6</v>
      </c>
      <c r="B11" s="45" t="s">
        <v>834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44">
        <f>ROUND(MAX(C11+E11-D11-F11,0),2)</f>
        <v>0</v>
      </c>
      <c r="H11" s="744">
        <f>ROUND(MAX(D11+F11-C11-E11,0),2)</f>
        <v>0</v>
      </c>
      <c r="I11" s="287" t="str">
        <f>IF(ISNA(VLOOKUP(B11,[3]!DSKH,1,0)),"","x")</f>
        <v>x</v>
      </c>
    </row>
    <row r="12" spans="1:10" s="10" customFormat="1" ht="16.5" customHeight="1">
      <c r="A12" s="6">
        <f t="shared" si="2"/>
        <v>7</v>
      </c>
      <c r="B12" s="7" t="s">
        <v>1481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4">
        <f t="shared" si="0"/>
        <v>0</v>
      </c>
      <c r="H12" s="744">
        <f t="shared" si="1"/>
        <v>150195820</v>
      </c>
      <c r="I12" s="287"/>
    </row>
    <row r="13" spans="1:10" s="10" customFormat="1" ht="16.5" customHeight="1">
      <c r="A13" s="6">
        <f t="shared" si="2"/>
        <v>8</v>
      </c>
      <c r="B13" s="7" t="s">
        <v>1482</v>
      </c>
      <c r="C13" s="8"/>
      <c r="D13" s="8">
        <v>148850760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4">
        <f t="shared" si="0"/>
        <v>0</v>
      </c>
      <c r="H13" s="744">
        <f t="shared" si="1"/>
        <v>148850760</v>
      </c>
      <c r="I13" s="287"/>
    </row>
    <row r="14" spans="1:10" s="10" customFormat="1" ht="16.5" customHeight="1">
      <c r="A14" s="6">
        <f t="shared" si="2"/>
        <v>9</v>
      </c>
      <c r="B14" s="7" t="s">
        <v>1483</v>
      </c>
      <c r="C14" s="8"/>
      <c r="D14" s="8">
        <v>238409660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4">
        <f t="shared" si="0"/>
        <v>0</v>
      </c>
      <c r="H14" s="744">
        <f t="shared" si="1"/>
        <v>238409660</v>
      </c>
      <c r="I14" s="287">
        <v>45000000</v>
      </c>
      <c r="J14" s="930">
        <f t="shared" ref="J14:J22" si="6">I14-H14</f>
        <v>-193409660</v>
      </c>
    </row>
    <row r="15" spans="1:10" s="10" customFormat="1" ht="16.5" customHeight="1">
      <c r="A15" s="6">
        <f t="shared" si="2"/>
        <v>10</v>
      </c>
      <c r="B15" s="7" t="s">
        <v>1586</v>
      </c>
      <c r="C15" s="8"/>
      <c r="D15" s="8">
        <v>146189560</v>
      </c>
      <c r="E15" s="8">
        <f t="array" ref="E15">SUM(IF("331"&amp;B15=KHN&amp;KH,TH))</f>
        <v>35000000</v>
      </c>
      <c r="F15" s="8">
        <f t="array" ref="F15">SUM(IF("331"&amp;B15=KHC&amp;KH,TH))</f>
        <v>505127700</v>
      </c>
      <c r="G15" s="744">
        <f t="shared" si="0"/>
        <v>0</v>
      </c>
      <c r="H15" s="744">
        <f t="shared" si="1"/>
        <v>616317260</v>
      </c>
      <c r="I15" s="287">
        <v>408838700</v>
      </c>
      <c r="J15" s="930">
        <f>I15-H15</f>
        <v>-207478560</v>
      </c>
    </row>
    <row r="16" spans="1:10" s="10" customFormat="1" ht="16.5" customHeight="1">
      <c r="A16" s="6">
        <f t="shared" si="2"/>
        <v>11</v>
      </c>
      <c r="B16" s="7" t="s">
        <v>1484</v>
      </c>
      <c r="C16" s="8"/>
      <c r="D16" s="8">
        <v>274277920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4">
        <f t="shared" ref="G16:G23" si="7">ROUND(MAX(C16+E16-D16-F16,0),2)</f>
        <v>0</v>
      </c>
      <c r="H16" s="744">
        <f t="shared" ref="H16:H23" si="8">ROUND(MAX(D16+F16-C16-E16,0),2)</f>
        <v>274277920</v>
      </c>
      <c r="I16" s="287">
        <v>86277920</v>
      </c>
      <c r="J16" s="930">
        <f t="shared" si="6"/>
        <v>-188000000</v>
      </c>
    </row>
    <row r="17" spans="1:10" s="10" customFormat="1" ht="16.5" customHeight="1">
      <c r="A17" s="6">
        <f t="shared" si="2"/>
        <v>12</v>
      </c>
      <c r="B17" s="7" t="s">
        <v>1485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4">
        <f t="shared" si="7"/>
        <v>0</v>
      </c>
      <c r="H17" s="744">
        <f t="shared" si="8"/>
        <v>266682020</v>
      </c>
      <c r="I17" s="287"/>
      <c r="J17" s="930"/>
    </row>
    <row r="18" spans="1:10" s="10" customFormat="1" ht="16.5" customHeight="1">
      <c r="A18" s="6">
        <f t="shared" si="2"/>
        <v>13</v>
      </c>
      <c r="B18" s="7" t="s">
        <v>1486</v>
      </c>
      <c r="C18" s="8"/>
      <c r="D18" s="8">
        <v>230553200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4">
        <f t="shared" si="7"/>
        <v>0</v>
      </c>
      <c r="H18" s="744">
        <f t="shared" si="8"/>
        <v>230553200</v>
      </c>
      <c r="I18" s="287">
        <v>139400000</v>
      </c>
      <c r="J18" s="930">
        <f t="shared" si="6"/>
        <v>-91153200</v>
      </c>
    </row>
    <row r="19" spans="1:10" s="10" customFormat="1" ht="16.5" customHeight="1">
      <c r="A19" s="6">
        <f t="shared" si="2"/>
        <v>14</v>
      </c>
      <c r="B19" s="7" t="s">
        <v>1487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4">
        <f t="shared" ref="G19" si="9">ROUND(MAX(C19+E19-D19-F19,0),2)</f>
        <v>0</v>
      </c>
      <c r="H19" s="744">
        <f t="shared" ref="H19" si="10">ROUND(MAX(D19+F19-C19-E19,0),2)</f>
        <v>388135760</v>
      </c>
      <c r="I19" s="287">
        <v>393062795</v>
      </c>
      <c r="J19" s="93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1488</v>
      </c>
      <c r="C20" s="8"/>
      <c r="D20" s="8">
        <v>88276440</v>
      </c>
      <c r="E20" s="8">
        <f t="array" ref="E20">SUM(IF("331"&amp;B20=KHN&amp;KH,TH))</f>
        <v>0</v>
      </c>
      <c r="F20" s="8">
        <f t="array" ref="F20">SUM(IF("331"&amp;B20=KHC&amp;KH,TH))</f>
        <v>0</v>
      </c>
      <c r="G20" s="744">
        <f t="shared" si="7"/>
        <v>0</v>
      </c>
      <c r="H20" s="744">
        <f t="shared" si="8"/>
        <v>88276440</v>
      </c>
      <c r="I20" s="287">
        <v>81000000</v>
      </c>
      <c r="J20" s="930">
        <f t="shared" si="6"/>
        <v>-7276440</v>
      </c>
    </row>
    <row r="21" spans="1:10" s="10" customFormat="1" ht="16.5" customHeight="1">
      <c r="A21" s="6">
        <f t="shared" si="2"/>
        <v>16</v>
      </c>
      <c r="B21" s="193" t="s">
        <v>855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44">
        <f t="shared" si="7"/>
        <v>0</v>
      </c>
      <c r="H21" s="744">
        <f t="shared" si="8"/>
        <v>535051000</v>
      </c>
      <c r="I21" s="287" t="str">
        <f>IF(ISNA(VLOOKUP(B21,[3]!DSKH,1,0)),"","x")</f>
        <v/>
      </c>
      <c r="J21" s="930"/>
    </row>
    <row r="22" spans="1:10" s="10" customFormat="1" ht="16.5" customHeight="1">
      <c r="A22" s="6">
        <f t="shared" si="2"/>
        <v>17</v>
      </c>
      <c r="B22" s="7" t="s">
        <v>860</v>
      </c>
      <c r="C22" s="8"/>
      <c r="D22" s="8"/>
      <c r="E22" s="8">
        <f t="array" ref="E22">SUM(IF("331"&amp;B22=KHN&amp;KH,TH))</f>
        <v>38000000</v>
      </c>
      <c r="F22" s="8">
        <f t="array" ref="F22">SUM(IF("331"&amp;B22=KHC&amp;KH,TH))</f>
        <v>272599580</v>
      </c>
      <c r="G22" s="744">
        <f t="shared" si="7"/>
        <v>0</v>
      </c>
      <c r="H22" s="744">
        <f t="shared" si="8"/>
        <v>234599580</v>
      </c>
      <c r="I22" s="287">
        <v>50000000</v>
      </c>
      <c r="J22" s="930">
        <f t="shared" si="6"/>
        <v>-184599580</v>
      </c>
    </row>
    <row r="23" spans="1:10" s="10" customFormat="1" ht="16.5" customHeight="1">
      <c r="A23" s="6">
        <f t="shared" si="2"/>
        <v>18</v>
      </c>
      <c r="B23" s="7" t="s">
        <v>886</v>
      </c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582970630</v>
      </c>
      <c r="G23" s="744">
        <f t="shared" si="7"/>
        <v>0</v>
      </c>
      <c r="H23" s="744">
        <f t="shared" si="8"/>
        <v>582970630</v>
      </c>
      <c r="I23" s="287" t="str">
        <f>IF(ISNA(VLOOKUP(B23,[3]!DSKH,1,0)),"","x")</f>
        <v/>
      </c>
      <c r="J23" s="930"/>
    </row>
    <row r="24" spans="1:10" s="10" customFormat="1" ht="16.5" customHeight="1">
      <c r="A24" s="6">
        <f t="shared" si="2"/>
        <v>19</v>
      </c>
      <c r="B24" s="7" t="s">
        <v>865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4">
        <f t="shared" ref="G24:G25" si="11">ROUND(MAX(C24+E24-D24-F24,0),2)</f>
        <v>0</v>
      </c>
      <c r="H24" s="744">
        <f t="shared" ref="H24:H25" si="12">ROUND(MAX(D24+F24-C24-E24,0),2)</f>
        <v>298354540</v>
      </c>
      <c r="I24" s="287">
        <v>554295000</v>
      </c>
      <c r="J24" s="930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875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4">
        <f t="shared" si="11"/>
        <v>0</v>
      </c>
      <c r="H25" s="744">
        <f t="shared" si="12"/>
        <v>177014640</v>
      </c>
      <c r="I25" s="287">
        <v>52700000</v>
      </c>
      <c r="J25" s="930">
        <f>I25-H25</f>
        <v>-124314640</v>
      </c>
    </row>
    <row r="26" spans="1:10" s="10" customFormat="1" ht="16.5" customHeight="1">
      <c r="A26" s="6">
        <f t="shared" si="2"/>
        <v>21</v>
      </c>
      <c r="B26" s="193" t="s">
        <v>1595</v>
      </c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683500000</v>
      </c>
      <c r="G26" s="744">
        <f t="shared" ref="G26" si="13">ROUND(MAX(C26+E26-D26-F26,0),2)</f>
        <v>0</v>
      </c>
      <c r="H26" s="744">
        <f t="shared" ref="H26" si="14">ROUND(MAX(D26+F26-C26-E26,0),2)</f>
        <v>683500000</v>
      </c>
      <c r="I26" s="287"/>
      <c r="J26" s="93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50"/>
      <c r="F27" s="450"/>
      <c r="G27" s="451"/>
      <c r="H27" s="451"/>
      <c r="I27" s="287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599262088</v>
      </c>
      <c r="F28" s="13">
        <f t="shared" si="15"/>
        <v>3580880178</v>
      </c>
      <c r="G28" s="13">
        <f t="shared" si="15"/>
        <v>0</v>
      </c>
      <c r="H28" s="13">
        <f t="shared" si="15"/>
        <v>4913189230</v>
      </c>
      <c r="I28" s="929"/>
    </row>
    <row r="29" spans="1:10">
      <c r="C29" s="183"/>
      <c r="D29" s="183"/>
      <c r="E29" s="183">
        <f>E28-CDPS!E28</f>
        <v>-1838328855</v>
      </c>
      <c r="F29" s="183">
        <f>F28-CDPS!F28</f>
        <v>0</v>
      </c>
      <c r="H29" s="183"/>
    </row>
    <row r="30" spans="1:10">
      <c r="E30" s="15"/>
      <c r="F30" s="1053" t="s">
        <v>417</v>
      </c>
      <c r="G30" s="1053"/>
      <c r="H30" s="1053"/>
    </row>
    <row r="31" spans="1:10">
      <c r="F31" s="1053" t="s">
        <v>109</v>
      </c>
      <c r="G31" s="1053"/>
      <c r="H31" s="1053"/>
    </row>
    <row r="32" spans="1:10">
      <c r="E32" s="183"/>
      <c r="F32" s="1053" t="s">
        <v>136</v>
      </c>
      <c r="G32" s="1053"/>
      <c r="H32" s="1053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1" t="str">
        <f>TH!A1</f>
        <v>Đơn vị: CÔNG TY TNHH SX TM KIM DUNG PHÁT</v>
      </c>
      <c r="B1" s="16"/>
      <c r="C1" s="16"/>
      <c r="G1" s="2"/>
      <c r="H1" s="1063" t="s">
        <v>46</v>
      </c>
      <c r="I1" s="1063"/>
      <c r="J1" s="1063"/>
    </row>
    <row r="2" spans="1:10" s="3" customFormat="1" ht="14.25" customHeight="1">
      <c r="A2" s="580" t="str">
        <f>TH!A2</f>
        <v>Địa chỉ: 1A227/1 Ấp 1, Phạm Văn Hai, Bình Chánh, TPHCM</v>
      </c>
      <c r="B2" s="16"/>
      <c r="C2" s="16"/>
      <c r="G2" s="17"/>
      <c r="H2" s="106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4"/>
      <c r="J2" s="1064"/>
    </row>
    <row r="3" spans="1:10" s="3" customFormat="1" ht="14.25" customHeight="1">
      <c r="A3" s="4"/>
      <c r="B3" s="16"/>
      <c r="C3" s="16"/>
      <c r="G3" s="17"/>
      <c r="H3" s="1064"/>
      <c r="I3" s="1064"/>
      <c r="J3" s="1064"/>
    </row>
    <row r="4" spans="1:10" s="5" customFormat="1" ht="28.5" customHeight="1">
      <c r="A4" s="1065" t="s">
        <v>26</v>
      </c>
      <c r="B4" s="1065"/>
      <c r="C4" s="1065"/>
      <c r="D4" s="1065"/>
      <c r="E4" s="1065"/>
      <c r="F4" s="1065"/>
      <c r="G4" s="1065"/>
      <c r="H4" s="1065"/>
      <c r="I4" s="1065"/>
      <c r="J4" s="106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6" t="s">
        <v>823</v>
      </c>
      <c r="F7" s="1066"/>
      <c r="G7" s="1066"/>
      <c r="H7" s="106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7"/>
      <c r="D9" s="1067"/>
      <c r="E9" s="1067"/>
      <c r="F9" s="1067"/>
      <c r="G9" s="1067"/>
      <c r="H9" s="1067"/>
      <c r="I9" s="1067"/>
      <c r="J9" s="1067"/>
    </row>
    <row r="10" spans="1:10" s="18" customFormat="1" ht="14.25" customHeight="1">
      <c r="A10" s="1031" t="s">
        <v>20</v>
      </c>
      <c r="B10" s="1068" t="s">
        <v>1</v>
      </c>
      <c r="C10" s="1068"/>
      <c r="D10" s="1031" t="s">
        <v>0</v>
      </c>
      <c r="E10" s="1031" t="s">
        <v>14</v>
      </c>
      <c r="F10" s="1031" t="s">
        <v>30</v>
      </c>
      <c r="G10" s="1061" t="s">
        <v>21</v>
      </c>
      <c r="H10" s="1062"/>
      <c r="I10" s="1061" t="s">
        <v>31</v>
      </c>
      <c r="J10" s="1062"/>
    </row>
    <row r="11" spans="1:10" s="18" customFormat="1" ht="24.75" customHeight="1">
      <c r="A11" s="1031"/>
      <c r="B11" s="30" t="s">
        <v>15</v>
      </c>
      <c r="C11" s="30" t="s">
        <v>32</v>
      </c>
      <c r="D11" s="1031"/>
      <c r="E11" s="1031"/>
      <c r="F11" s="10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9" t="str">
        <f ca="1">"Ngày 31 tháng  12  năm  "&amp;YEAR($A$14)</f>
        <v>Ngày 31 tháng  12  năm  2016</v>
      </c>
      <c r="F56" s="1019"/>
      <c r="G56" s="1019"/>
      <c r="H56" s="1019"/>
      <c r="I56" s="1019"/>
      <c r="J56" s="1019"/>
    </row>
    <row r="57" spans="1:11" s="18" customFormat="1" ht="14.25" customHeight="1">
      <c r="C57" s="214" t="s">
        <v>11</v>
      </c>
      <c r="E57" s="1019" t="s">
        <v>12</v>
      </c>
      <c r="F57" s="1019"/>
      <c r="G57" s="1019"/>
      <c r="H57" s="1019"/>
      <c r="I57" s="1019"/>
      <c r="J57" s="1019"/>
    </row>
    <row r="58" spans="1:11" s="18" customFormat="1" ht="14.25" customHeight="1">
      <c r="C58" s="214" t="s">
        <v>13</v>
      </c>
      <c r="E58" s="1019" t="s">
        <v>13</v>
      </c>
      <c r="F58" s="1019"/>
      <c r="G58" s="1019"/>
      <c r="H58" s="1019"/>
      <c r="I58" s="1019"/>
      <c r="J58" s="1019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54" t="s">
        <v>767</v>
      </c>
      <c r="B1" s="1054"/>
      <c r="C1" s="1054"/>
      <c r="D1" s="1054"/>
      <c r="E1" s="1054"/>
      <c r="F1" s="1054"/>
      <c r="G1" s="1054"/>
      <c r="H1" s="1054"/>
      <c r="I1" s="1054"/>
    </row>
    <row r="2" spans="1:9" s="10" customFormat="1" ht="15.75" customHeight="1">
      <c r="A2" s="1069" t="s">
        <v>35</v>
      </c>
      <c r="B2" s="1070" t="s">
        <v>768</v>
      </c>
      <c r="C2" s="1070" t="s">
        <v>769</v>
      </c>
      <c r="D2" s="1070" t="s">
        <v>37</v>
      </c>
      <c r="E2" s="1070"/>
      <c r="F2" s="1070" t="s">
        <v>38</v>
      </c>
      <c r="G2" s="1070"/>
      <c r="H2" s="1071" t="s">
        <v>353</v>
      </c>
      <c r="I2" s="1060"/>
    </row>
    <row r="3" spans="1:9" s="10" customFormat="1" ht="15.75" customHeight="1">
      <c r="A3" s="1069"/>
      <c r="B3" s="1070"/>
      <c r="C3" s="1070"/>
      <c r="D3" s="830" t="s">
        <v>42</v>
      </c>
      <c r="E3" s="830" t="s">
        <v>43</v>
      </c>
      <c r="F3" s="830" t="s">
        <v>42</v>
      </c>
      <c r="G3" s="830" t="s">
        <v>43</v>
      </c>
      <c r="H3" s="830" t="s">
        <v>42</v>
      </c>
      <c r="I3" s="830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2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1">
        <f t="shared" ref="H4:H9" si="1">ROUND(MAX(D4+F4-E4-G4,0),2)</f>
        <v>0</v>
      </c>
      <c r="I4" s="831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2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1">
        <f t="shared" si="1"/>
        <v>0</v>
      </c>
      <c r="I5" s="831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1">
        <f t="shared" si="1"/>
        <v>0</v>
      </c>
      <c r="I6" s="831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1">
        <f t="shared" si="1"/>
        <v>0</v>
      </c>
      <c r="I7" s="831">
        <f t="shared" si="2"/>
        <v>0</v>
      </c>
    </row>
    <row r="8" spans="1:9" s="10" customFormat="1" ht="18" customHeight="1">
      <c r="A8" s="436">
        <f t="shared" si="0"/>
        <v>5</v>
      </c>
      <c r="B8" s="193" t="s">
        <v>1310</v>
      </c>
      <c r="C8" s="832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1">
        <f t="shared" si="1"/>
        <v>0</v>
      </c>
      <c r="I8" s="831">
        <f t="shared" si="2"/>
        <v>0</v>
      </c>
    </row>
    <row r="9" spans="1:9" s="10" customFormat="1" ht="18" customHeight="1">
      <c r="A9" s="436">
        <f t="shared" si="0"/>
        <v>6</v>
      </c>
      <c r="B9" s="193" t="s">
        <v>1322</v>
      </c>
      <c r="C9" s="724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1">
        <f t="shared" si="1"/>
        <v>0</v>
      </c>
      <c r="I9" s="831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1325</v>
      </c>
      <c r="C10" s="724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1">
        <f t="shared" ref="H10:H11" si="4">ROUND(MAX(D10+F10-E10-G10,0),2)</f>
        <v>0</v>
      </c>
      <c r="I10" s="831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1326</v>
      </c>
      <c r="C11" s="724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1">
        <f t="shared" si="4"/>
        <v>0</v>
      </c>
      <c r="I11" s="831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1491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1">
        <f t="shared" ref="H12:H20" si="7">ROUND(MAX(D12+F12-E12-G12,0),2)</f>
        <v>0</v>
      </c>
      <c r="I12" s="831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1497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1">
        <f t="shared" si="7"/>
        <v>0</v>
      </c>
      <c r="I13" s="831">
        <f t="shared" si="8"/>
        <v>250000000</v>
      </c>
    </row>
    <row r="14" spans="1:9" s="10" customFormat="1" ht="18" customHeight="1">
      <c r="A14" s="436">
        <f t="shared" si="6"/>
        <v>11</v>
      </c>
      <c r="B14" s="926" t="s">
        <v>1496</v>
      </c>
      <c r="C14" s="820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1">
        <f t="shared" si="7"/>
        <v>0</v>
      </c>
      <c r="I14" s="831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1545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1">
        <f t="shared" si="7"/>
        <v>0</v>
      </c>
      <c r="I15" s="831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1546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1">
        <f t="shared" si="7"/>
        <v>0</v>
      </c>
      <c r="I16" s="831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1551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1">
        <f t="shared" si="7"/>
        <v>0</v>
      </c>
      <c r="I17" s="831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4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1">
        <f t="shared" si="7"/>
        <v>0</v>
      </c>
      <c r="I18" s="831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4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1">
        <f t="shared" si="7"/>
        <v>0</v>
      </c>
      <c r="I19" s="831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4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1">
        <f t="shared" si="7"/>
        <v>0</v>
      </c>
      <c r="I20" s="831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3"/>
      <c r="C21" s="834"/>
      <c r="D21" s="182"/>
      <c r="E21" s="182"/>
      <c r="F21" s="182"/>
      <c r="G21" s="182"/>
      <c r="H21" s="835"/>
      <c r="I21" s="835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56" customWidth="1"/>
    <col min="2" max="2" width="8.28515625" style="856" customWidth="1"/>
    <col min="3" max="3" width="9.28515625" style="856" customWidth="1"/>
    <col min="4" max="4" width="37.28515625" style="856" customWidth="1"/>
    <col min="5" max="5" width="10.140625" style="856" customWidth="1"/>
    <col min="6" max="9" width="15" style="856" customWidth="1"/>
    <col min="10" max="16384" width="9.140625" style="856"/>
  </cols>
  <sheetData>
    <row r="1" spans="1:9" s="837" customFormat="1" ht="16.5" customHeight="1">
      <c r="A1" s="581" t="str">
        <f>[4]TH!A1</f>
        <v>Đơn vị: CÔNG TY TNHH SX TM KIM DUNG PHÁT</v>
      </c>
      <c r="B1" s="836"/>
      <c r="C1" s="836"/>
      <c r="F1" s="836"/>
      <c r="G1" s="1063" t="s">
        <v>771</v>
      </c>
      <c r="H1" s="1063"/>
      <c r="I1" s="1063"/>
    </row>
    <row r="2" spans="1:9" s="837" customFormat="1" ht="16.5" customHeight="1">
      <c r="A2" s="580" t="str">
        <f>[4]TH!A2</f>
        <v>Địa chỉ: 1A227/1 Ấp 1, Phạm Văn Hai, Bình Chánh, TPHCM</v>
      </c>
      <c r="B2" s="814"/>
      <c r="C2" s="814"/>
      <c r="F2" s="701"/>
      <c r="G2" s="1064" t="s">
        <v>772</v>
      </c>
      <c r="H2" s="1064"/>
      <c r="I2" s="1064"/>
    </row>
    <row r="3" spans="1:9" s="837" customFormat="1" ht="16.5" customHeight="1">
      <c r="A3" s="814"/>
      <c r="B3" s="814"/>
      <c r="C3" s="814"/>
      <c r="F3" s="701"/>
      <c r="G3" s="1064"/>
      <c r="H3" s="1064"/>
      <c r="I3" s="1064"/>
    </row>
    <row r="4" spans="1:9" s="837" customFormat="1" ht="16.5" customHeight="1">
      <c r="A4" s="814"/>
      <c r="B4" s="814"/>
      <c r="C4" s="814"/>
      <c r="F4" s="701"/>
      <c r="G4" s="815"/>
      <c r="H4" s="815"/>
      <c r="I4" s="815"/>
    </row>
    <row r="5" spans="1:9" s="18" customFormat="1" ht="23.25" customHeight="1">
      <c r="A5" s="1072" t="s">
        <v>773</v>
      </c>
      <c r="B5" s="1072"/>
      <c r="C5" s="1072"/>
      <c r="D5" s="1072"/>
      <c r="E5" s="1072"/>
      <c r="F5" s="1072"/>
      <c r="G5" s="1072"/>
      <c r="H5" s="1072"/>
      <c r="I5" s="1072"/>
    </row>
    <row r="6" spans="1:9" s="18" customFormat="1">
      <c r="A6" s="1019" t="s">
        <v>774</v>
      </c>
      <c r="B6" s="1019"/>
      <c r="C6" s="1019"/>
      <c r="D6" s="1019"/>
      <c r="E6" s="1019"/>
      <c r="F6" s="1019"/>
      <c r="G6" s="1019"/>
      <c r="H6" s="1019"/>
      <c r="I6" s="1019"/>
    </row>
    <row r="7" spans="1:9" s="18" customFormat="1">
      <c r="A7" s="1019" t="s">
        <v>775</v>
      </c>
      <c r="B7" s="1019"/>
      <c r="C7" s="1019"/>
      <c r="D7" s="1019"/>
      <c r="E7" s="1019"/>
      <c r="F7" s="1019"/>
      <c r="G7" s="1019"/>
      <c r="H7" s="1019"/>
      <c r="I7" s="1019"/>
    </row>
    <row r="8" spans="1:9" s="18" customFormat="1" ht="15" customHeight="1">
      <c r="A8" s="1019" t="str">
        <f>IF(MID($E$9,4,4)="1015","Đối tượng cho vay: NH Eximbank CN Q11","Đối tượng cho vay: NH Eximbank CN Q4")</f>
        <v>Đối tượng cho vay: NH Eximbank CN Q4</v>
      </c>
      <c r="B8" s="1019"/>
      <c r="C8" s="1019"/>
      <c r="D8" s="1019"/>
      <c r="E8" s="1019"/>
      <c r="F8" s="1019"/>
      <c r="G8" s="1019"/>
      <c r="H8" s="1019"/>
      <c r="I8" s="1019"/>
    </row>
    <row r="9" spans="1:9" s="18" customFormat="1">
      <c r="A9" s="812"/>
      <c r="B9" s="812"/>
      <c r="C9" s="812"/>
      <c r="D9" s="20" t="s">
        <v>776</v>
      </c>
      <c r="E9" s="1073" t="s">
        <v>770</v>
      </c>
      <c r="F9" s="1073"/>
      <c r="G9" s="816" t="e">
        <f>"ngày "&amp; TEXT(VLOOKUP($E$9,'341'!$B$4:$I$21,2,0),"dd/MM/yy")</f>
        <v>#N/A</v>
      </c>
      <c r="H9" s="812"/>
      <c r="I9" s="812"/>
    </row>
    <row r="10" spans="1:9" s="18" customFormat="1">
      <c r="A10" s="1019" t="s">
        <v>777</v>
      </c>
      <c r="B10" s="1019"/>
      <c r="C10" s="1019"/>
      <c r="D10" s="1019"/>
      <c r="E10" s="1019"/>
      <c r="F10" s="1019"/>
      <c r="G10" s="1019"/>
      <c r="H10" s="1019"/>
      <c r="I10" s="1019"/>
    </row>
    <row r="11" spans="1:9" s="18" customFormat="1">
      <c r="C11" s="1067"/>
      <c r="D11" s="1067"/>
      <c r="E11" s="1067"/>
      <c r="F11" s="1067"/>
      <c r="G11" s="1067"/>
      <c r="H11" s="1067"/>
      <c r="I11" s="1067"/>
    </row>
    <row r="12" spans="1:9" s="18" customFormat="1" ht="15.75" customHeight="1">
      <c r="A12" s="1074" t="s">
        <v>20</v>
      </c>
      <c r="B12" s="1061" t="s">
        <v>1</v>
      </c>
      <c r="C12" s="1062"/>
      <c r="D12" s="1074" t="s">
        <v>0</v>
      </c>
      <c r="E12" s="1074" t="s">
        <v>14</v>
      </c>
      <c r="F12" s="1076" t="s">
        <v>778</v>
      </c>
      <c r="G12" s="1077"/>
      <c r="H12" s="1076" t="s">
        <v>779</v>
      </c>
      <c r="I12" s="1077"/>
    </row>
    <row r="13" spans="1:9" s="18" customFormat="1" ht="33.75" customHeight="1">
      <c r="A13" s="1075"/>
      <c r="B13" s="242" t="s">
        <v>15</v>
      </c>
      <c r="C13" s="242" t="s">
        <v>32</v>
      </c>
      <c r="D13" s="1075"/>
      <c r="E13" s="1075"/>
      <c r="F13" s="838" t="s">
        <v>22</v>
      </c>
      <c r="G13" s="838" t="s">
        <v>23</v>
      </c>
      <c r="H13" s="838" t="s">
        <v>22</v>
      </c>
      <c r="I13" s="838" t="s">
        <v>23</v>
      </c>
    </row>
    <row r="14" spans="1:9" s="812" customFormat="1">
      <c r="A14" s="813" t="s">
        <v>2</v>
      </c>
      <c r="B14" s="817" t="s">
        <v>3</v>
      </c>
      <c r="C14" s="813" t="s">
        <v>4</v>
      </c>
      <c r="D14" s="813" t="s">
        <v>5</v>
      </c>
      <c r="E14" s="813" t="s">
        <v>6</v>
      </c>
      <c r="F14" s="813">
        <v>3</v>
      </c>
      <c r="G14" s="813">
        <v>5</v>
      </c>
      <c r="H14" s="813">
        <v>7</v>
      </c>
      <c r="I14" s="813">
        <v>9</v>
      </c>
    </row>
    <row r="15" spans="1:9" s="18" customFormat="1" ht="19.5" customHeight="1">
      <c r="A15" s="839"/>
      <c r="B15" s="839"/>
      <c r="C15" s="839"/>
      <c r="D15" s="237" t="s">
        <v>7</v>
      </c>
      <c r="E15" s="238"/>
      <c r="F15" s="839"/>
      <c r="G15" s="839"/>
      <c r="H15" s="840" t="e">
        <f>VLOOKUP($E$9,'341'!$B$4:$I$21,3,0)</f>
        <v>#N/A</v>
      </c>
      <c r="I15" s="840" t="e">
        <f>VLOOKUP($E$9,'341'!$B$4:$I$21,4,0)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41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42" t="str">
        <f ca="1">IF(ROWS($1:1)&gt;COUNT(Dong4),"",IF(LEFT(OFFSET([4]TH!L$1,SMALL(Dong4,ROWS($1:1)),),3)="341",OFFSET([4]TH!K$1,SMALL(Dong4,ROWS($1:1)),),0))</f>
        <v/>
      </c>
      <c r="G16" s="842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3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41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42" t="str">
        <f ca="1">IF(ROWS($1:2)&gt;COUNT(Dong4),"",IF(LEFT(OFFSET([4]TH!L$1,SMALL(Dong4,ROWS($1:2)),),3)="341",OFFSET([4]TH!K$1,SMALL(Dong4,ROWS($1:2)),),0))</f>
        <v/>
      </c>
      <c r="G17" s="842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3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41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42" t="str">
        <f ca="1">IF(ROWS($1:3)&gt;COUNT(Dong4),"",IF(LEFT(OFFSET([4]TH!L$1,SMALL(Dong4,ROWS($1:3)),),3)="341",OFFSET([4]TH!K$1,SMALL(Dong4,ROWS($1:3)),),0))</f>
        <v/>
      </c>
      <c r="G18" s="842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3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41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42" t="str">
        <f ca="1">IF(ROWS($1:4)&gt;COUNT(Dong4),"",IF(LEFT(OFFSET([4]TH!L$1,SMALL(Dong4,ROWS($1:4)),),3)="341",OFFSET([4]TH!K$1,SMALL(Dong4,ROWS($1:4)),),0))</f>
        <v/>
      </c>
      <c r="G19" s="842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3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41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42" t="str">
        <f ca="1">IF(ROWS($1:5)&gt;COUNT(Dong4),"",IF(LEFT(OFFSET([4]TH!L$1,SMALL(Dong4,ROWS($1:5)),),3)="341",OFFSET([4]TH!K$1,SMALL(Dong4,ROWS($1:5)),),0))</f>
        <v/>
      </c>
      <c r="G20" s="842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3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41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42" t="str">
        <f ca="1">IF(ROWS($1:6)&gt;COUNT(Dong4),"",IF(LEFT(OFFSET([4]TH!L$1,SMALL(Dong4,ROWS($1:6)),),3)="341",OFFSET([4]TH!K$1,SMALL(Dong4,ROWS($1:6)),),0))</f>
        <v/>
      </c>
      <c r="G21" s="842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3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41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42" t="str">
        <f ca="1">IF(ROWS($1:7)&gt;COUNT(Dong4),"",IF(LEFT(OFFSET([4]TH!L$1,SMALL(Dong4,ROWS($1:7)),),3)="341",OFFSET([4]TH!K$1,SMALL(Dong4,ROWS($1:7)),),0))</f>
        <v/>
      </c>
      <c r="G22" s="842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3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41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42" t="str">
        <f ca="1">IF(ROWS($1:8)&gt;COUNT(Dong4),"",IF(LEFT(OFFSET([4]TH!L$1,SMALL(Dong4,ROWS($1:8)),),3)="341",OFFSET([4]TH!K$1,SMALL(Dong4,ROWS($1:8)),),0))</f>
        <v/>
      </c>
      <c r="G23" s="842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3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41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42" t="str">
        <f ca="1">IF(ROWS($1:9)&gt;COUNT(Dong4),"",IF(LEFT(OFFSET([4]TH!L$1,SMALL(Dong4,ROWS($1:9)),),3)="341",OFFSET([4]TH!K$1,SMALL(Dong4,ROWS($1:9)),),0))</f>
        <v/>
      </c>
      <c r="G24" s="842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3" customFormat="1" ht="19.5" customHeight="1">
      <c r="A25" s="844"/>
      <c r="B25" s="844"/>
      <c r="C25" s="844"/>
      <c r="D25" s="845"/>
      <c r="E25" s="846"/>
      <c r="F25" s="847"/>
      <c r="G25" s="84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3">
        <f ca="1">SUM(F16:F25)</f>
        <v>0</v>
      </c>
      <c r="G26" s="743">
        <f ca="1">SUM(G16:G25)</f>
        <v>0</v>
      </c>
      <c r="H26" s="849" t="s">
        <v>19</v>
      </c>
      <c r="I26" s="849" t="s">
        <v>19</v>
      </c>
    </row>
    <row r="27" spans="1:9" s="18" customFormat="1" ht="19.5" customHeight="1">
      <c r="A27" s="850"/>
      <c r="B27" s="850"/>
      <c r="C27" s="850"/>
      <c r="D27" s="240" t="s">
        <v>10</v>
      </c>
      <c r="E27" s="241" t="s">
        <v>19</v>
      </c>
      <c r="F27" s="241" t="s">
        <v>19</v>
      </c>
      <c r="G27" s="241" t="s">
        <v>19</v>
      </c>
      <c r="H27" s="851" t="e">
        <f ca="1">MAX(H15+F26-I15-G26,0)</f>
        <v>#N/A</v>
      </c>
      <c r="I27" s="851" t="e">
        <f ca="1">MAX(I15+G26-H15-F26,0)</f>
        <v>#N/A</v>
      </c>
    </row>
    <row r="28" spans="1:9" s="18" customFormat="1">
      <c r="E28" s="812"/>
    </row>
    <row r="29" spans="1:9" s="18" customFormat="1">
      <c r="A29" s="852" t="s">
        <v>780</v>
      </c>
      <c r="E29" s="812"/>
    </row>
    <row r="30" spans="1:9" s="18" customFormat="1">
      <c r="A30" s="852" t="e">
        <f>"- Ngày mở sổ: "&amp; TEXT(VLOOKUP($E$9,'341'!$B$4:$I$21,2,0),"dd/MM/yy")</f>
        <v>#N/A</v>
      </c>
      <c r="E30" s="812"/>
    </row>
    <row r="31" spans="1:9" s="18" customFormat="1">
      <c r="E31" s="812"/>
      <c r="H31" s="812" t="s">
        <v>781</v>
      </c>
    </row>
    <row r="32" spans="1:9" s="18" customFormat="1">
      <c r="C32" s="812" t="s">
        <v>11</v>
      </c>
      <c r="E32" s="812"/>
      <c r="H32" s="812" t="s">
        <v>12</v>
      </c>
    </row>
    <row r="33" spans="2:8" s="18" customFormat="1">
      <c r="C33" s="812" t="s">
        <v>13</v>
      </c>
      <c r="E33" s="812"/>
      <c r="H33" s="812" t="s">
        <v>13</v>
      </c>
    </row>
    <row r="34" spans="2:8" s="18" customFormat="1">
      <c r="E34" s="812"/>
    </row>
    <row r="35" spans="2:8" s="18" customFormat="1">
      <c r="E35" s="812"/>
    </row>
    <row r="36" spans="2:8" s="853" customFormat="1"/>
    <row r="37" spans="2:8" s="853" customFormat="1"/>
    <row r="38" spans="2:8" s="853" customFormat="1"/>
    <row r="39" spans="2:8" s="853" customFormat="1"/>
    <row r="40" spans="2:8" s="853" customFormat="1" ht="15">
      <c r="B40" s="854"/>
      <c r="C40" s="855" t="s">
        <v>782</v>
      </c>
      <c r="D40" s="854"/>
    </row>
    <row r="41" spans="2:8" s="853" customFormat="1"/>
    <row r="42" spans="2:8" s="853" customFormat="1"/>
    <row r="43" spans="2:8" s="853" customFormat="1"/>
    <row r="44" spans="2:8" s="853" customFormat="1"/>
    <row r="45" spans="2:8" s="853" customFormat="1"/>
    <row r="46" spans="2:8" s="853" customFormat="1"/>
    <row r="47" spans="2:8" s="853" customFormat="1"/>
    <row r="48" spans="2:8" s="853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85" t="str">
        <f>TH!$A$1</f>
        <v>Đơn vị: CÔNG TY TNHH SX TM KIM DUNG PHÁT</v>
      </c>
      <c r="C2" s="264"/>
      <c r="F2" s="265"/>
      <c r="G2" s="265"/>
      <c r="H2" s="265"/>
      <c r="I2" s="265"/>
      <c r="J2" s="1079" t="s">
        <v>178</v>
      </c>
      <c r="K2" s="1079"/>
      <c r="L2" s="1079"/>
      <c r="M2" s="1079"/>
      <c r="N2" s="265"/>
    </row>
    <row r="3" spans="1:14">
      <c r="A3" s="786" t="str">
        <f>TH!$A$2</f>
        <v>Địa chỉ: 1A227/1 Ấp 1, Phạm Văn Hai, Bình Chánh, TPHCM</v>
      </c>
      <c r="C3" s="264"/>
      <c r="F3" s="266"/>
      <c r="G3" s="266"/>
      <c r="H3" s="266"/>
      <c r="I3" s="266"/>
      <c r="J3" s="10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8"/>
      <c r="L3" s="1078"/>
      <c r="M3" s="1078"/>
      <c r="N3" s="266"/>
    </row>
    <row r="4" spans="1:14">
      <c r="F4" s="266"/>
      <c r="G4" s="266"/>
      <c r="H4" s="266"/>
      <c r="I4" s="266"/>
      <c r="J4" s="1078"/>
      <c r="K4" s="1078"/>
      <c r="L4" s="1078"/>
      <c r="M4" s="1078"/>
      <c r="N4" s="266"/>
    </row>
    <row r="5" spans="1:14" s="267" customFormat="1" ht="23.25" customHeight="1">
      <c r="A5" s="1088" t="s">
        <v>179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</row>
    <row r="6" spans="1:14">
      <c r="A6" s="1079" t="s">
        <v>418</v>
      </c>
      <c r="B6" s="1079" t="s">
        <v>180</v>
      </c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</row>
    <row r="7" spans="1:14">
      <c r="C7" s="1089"/>
      <c r="D7" s="1089"/>
      <c r="E7" s="1089"/>
      <c r="F7" s="1089"/>
      <c r="G7" s="1089"/>
      <c r="H7" s="1089"/>
      <c r="I7" s="1089"/>
      <c r="J7" s="1089"/>
      <c r="K7" s="1089"/>
      <c r="L7" s="1089"/>
      <c r="M7" s="1089"/>
      <c r="N7" s="1089"/>
    </row>
    <row r="8" spans="1:14" ht="15.75" customHeight="1">
      <c r="A8" s="1082" t="s">
        <v>20</v>
      </c>
      <c r="B8" s="1090" t="s">
        <v>1</v>
      </c>
      <c r="C8" s="1091"/>
      <c r="D8" s="1082" t="s">
        <v>0</v>
      </c>
      <c r="E8" s="1082" t="s">
        <v>14</v>
      </c>
      <c r="F8" s="1081" t="s">
        <v>21</v>
      </c>
      <c r="G8" s="1081"/>
      <c r="H8" s="1081"/>
      <c r="I8" s="1081"/>
      <c r="J8" s="1081"/>
      <c r="K8" s="1081"/>
      <c r="L8" s="1081" t="s">
        <v>31</v>
      </c>
      <c r="M8" s="1081"/>
      <c r="N8" s="1081"/>
    </row>
    <row r="9" spans="1:14" ht="15.75" customHeight="1">
      <c r="A9" s="1082"/>
      <c r="B9" s="1092"/>
      <c r="C9" s="1093"/>
      <c r="D9" s="1082"/>
      <c r="E9" s="1082"/>
      <c r="F9" s="1081" t="s">
        <v>181</v>
      </c>
      <c r="G9" s="1081"/>
      <c r="H9" s="1081"/>
      <c r="I9" s="1081" t="s">
        <v>182</v>
      </c>
      <c r="J9" s="1081"/>
      <c r="K9" s="1081"/>
      <c r="L9" s="1082" t="s">
        <v>183</v>
      </c>
      <c r="M9" s="1082" t="s">
        <v>184</v>
      </c>
      <c r="N9" s="1082" t="s">
        <v>185</v>
      </c>
    </row>
    <row r="10" spans="1:14" ht="15.75" customHeight="1">
      <c r="A10" s="1082"/>
      <c r="B10" s="1084" t="s">
        <v>15</v>
      </c>
      <c r="C10" s="1084" t="s">
        <v>32</v>
      </c>
      <c r="D10" s="1082"/>
      <c r="E10" s="1082"/>
      <c r="F10" s="1086" t="s">
        <v>183</v>
      </c>
      <c r="G10" s="1086" t="s">
        <v>184</v>
      </c>
      <c r="H10" s="1086" t="s">
        <v>185</v>
      </c>
      <c r="I10" s="1086" t="s">
        <v>183</v>
      </c>
      <c r="J10" s="1086" t="s">
        <v>184</v>
      </c>
      <c r="K10" s="1086" t="s">
        <v>185</v>
      </c>
      <c r="L10" s="1083"/>
      <c r="M10" s="1083"/>
      <c r="N10" s="1083"/>
    </row>
    <row r="11" spans="1:14">
      <c r="A11" s="1082"/>
      <c r="B11" s="1085"/>
      <c r="C11" s="1085"/>
      <c r="D11" s="1082"/>
      <c r="E11" s="1082"/>
      <c r="F11" s="1087"/>
      <c r="G11" s="1087"/>
      <c r="H11" s="1087"/>
      <c r="I11" s="1087"/>
      <c r="J11" s="1087"/>
      <c r="K11" s="1087"/>
      <c r="L11" s="1083"/>
      <c r="M11" s="1083"/>
      <c r="N11" s="1083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89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88">
        <v>40634</v>
      </c>
      <c r="B14" s="692" t="s">
        <v>357</v>
      </c>
      <c r="C14" s="788">
        <v>40634</v>
      </c>
      <c r="D14" s="273" t="s">
        <v>404</v>
      </c>
      <c r="E14" s="692" t="s">
        <v>47</v>
      </c>
      <c r="F14" s="273"/>
      <c r="G14" s="273"/>
      <c r="H14" s="273"/>
      <c r="I14" s="337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88">
        <v>40634</v>
      </c>
      <c r="B15" s="692" t="s">
        <v>358</v>
      </c>
      <c r="C15" s="788">
        <v>40634</v>
      </c>
      <c r="D15" s="274" t="s">
        <v>405</v>
      </c>
      <c r="E15" s="693" t="s">
        <v>47</v>
      </c>
      <c r="F15" s="274"/>
      <c r="G15" s="274"/>
      <c r="H15" s="274"/>
      <c r="I15" s="342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88">
        <v>40634</v>
      </c>
      <c r="B16" s="692" t="s">
        <v>362</v>
      </c>
      <c r="C16" s="788">
        <v>40634</v>
      </c>
      <c r="D16" s="274" t="s">
        <v>406</v>
      </c>
      <c r="E16" s="693" t="s">
        <v>47</v>
      </c>
      <c r="F16" s="274"/>
      <c r="G16" s="274"/>
      <c r="H16" s="274"/>
      <c r="I16" s="342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62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80" t="str">
        <f>"Ngày 31 tháng  12  năm  "&amp;YEAR($A$14)</f>
        <v>Ngày 31 tháng  12  năm  2011</v>
      </c>
      <c r="F23" s="1080"/>
      <c r="G23" s="1080"/>
      <c r="H23" s="1080"/>
      <c r="I23" s="1080"/>
      <c r="J23" s="1080"/>
      <c r="K23" s="1080"/>
      <c r="L23" s="1080"/>
      <c r="M23" s="1080"/>
      <c r="N23" s="1080"/>
    </row>
    <row r="24" spans="1:14">
      <c r="A24" s="1080" t="s">
        <v>11</v>
      </c>
      <c r="B24" s="1080"/>
      <c r="C24" s="1080"/>
      <c r="D24" s="1080"/>
      <c r="E24" s="1080" t="s">
        <v>12</v>
      </c>
      <c r="F24" s="1080"/>
      <c r="G24" s="1080"/>
      <c r="H24" s="1080"/>
      <c r="I24" s="1080"/>
      <c r="J24" s="1080"/>
      <c r="K24" s="1080"/>
      <c r="L24" s="1080"/>
      <c r="M24" s="1080"/>
      <c r="N24" s="1080"/>
    </row>
    <row r="25" spans="1:14">
      <c r="A25" s="1080" t="s">
        <v>13</v>
      </c>
      <c r="B25" s="1080"/>
      <c r="C25" s="1080"/>
      <c r="D25" s="1080"/>
      <c r="E25" s="1080" t="s">
        <v>13</v>
      </c>
      <c r="F25" s="1080"/>
      <c r="G25" s="1080"/>
      <c r="H25" s="1080"/>
      <c r="I25" s="1080"/>
      <c r="J25" s="1080"/>
      <c r="K25" s="1080"/>
      <c r="L25" s="1080"/>
      <c r="M25" s="1080"/>
      <c r="N25" s="108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85" t="str">
        <f>TH!$A$1</f>
        <v>Đơn vị: CÔNG TY TNHH SX TM KIM DUNG PHÁT</v>
      </c>
      <c r="C1" s="920"/>
      <c r="D1" s="920"/>
      <c r="E1" s="920"/>
      <c r="F1" s="282"/>
      <c r="G1" s="282"/>
      <c r="H1" s="1063" t="s">
        <v>187</v>
      </c>
      <c r="I1" s="1063"/>
      <c r="J1" s="1063"/>
      <c r="K1" s="1063"/>
      <c r="L1" s="1063"/>
      <c r="M1" s="907"/>
      <c r="N1" s="697"/>
    </row>
    <row r="2" spans="1:14" s="435" customFormat="1" ht="14.25" customHeight="1">
      <c r="B2" s="786" t="str">
        <f>TH!$A$2</f>
        <v>Địa chỉ: 1A227/1 Ấp 1, Phạm Văn Hai, Bình Chánh, TPHCM</v>
      </c>
      <c r="C2" s="921"/>
      <c r="D2" s="921"/>
      <c r="E2" s="921"/>
      <c r="F2" s="921"/>
      <c r="G2" s="921"/>
      <c r="H2" s="1064" t="str">
        <f>IF(YEAR('[5]152-CT'!$C$50)&gt;=2015,"(Ban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64"/>
      <c r="J2" s="1064"/>
      <c r="K2" s="1064"/>
      <c r="L2" s="1064"/>
      <c r="M2" s="701"/>
      <c r="N2" s="697"/>
    </row>
    <row r="3" spans="1:14" s="435" customFormat="1" ht="14.25" customHeight="1">
      <c r="B3" s="921"/>
      <c r="C3" s="921"/>
      <c r="D3" s="921"/>
      <c r="E3" s="921"/>
      <c r="F3" s="921"/>
      <c r="G3" s="921"/>
      <c r="H3" s="1064"/>
      <c r="I3" s="1064"/>
      <c r="J3" s="1064"/>
      <c r="K3" s="1064"/>
      <c r="L3" s="1064"/>
      <c r="M3" s="702"/>
      <c r="N3" s="697"/>
    </row>
    <row r="4" spans="1:14" s="283" customFormat="1" ht="27.75" customHeight="1">
      <c r="B4" s="1095" t="s">
        <v>188</v>
      </c>
      <c r="C4" s="1095"/>
      <c r="D4" s="1095"/>
      <c r="E4" s="1095"/>
      <c r="F4" s="1095"/>
      <c r="G4" s="1095"/>
      <c r="H4" s="1095"/>
      <c r="I4" s="1095"/>
      <c r="J4" s="1095"/>
      <c r="K4" s="1095"/>
      <c r="L4" s="1095"/>
      <c r="N4" s="698"/>
    </row>
    <row r="5" spans="1:14" s="283" customFormat="1" ht="15" customHeight="1">
      <c r="B5" s="1094" t="s">
        <v>189</v>
      </c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N5" s="698"/>
    </row>
    <row r="6" spans="1:14" s="283" customFormat="1" ht="12.75" customHeight="1">
      <c r="B6" s="1094" t="s">
        <v>190</v>
      </c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N6" s="698"/>
    </row>
    <row r="7" spans="1:14" s="284" customFormat="1" ht="24" customHeight="1">
      <c r="C7" s="1096" t="s">
        <v>191</v>
      </c>
      <c r="D7" s="1096"/>
      <c r="E7" s="1096"/>
      <c r="F7" s="1096"/>
      <c r="G7" s="1096"/>
      <c r="H7" s="1096"/>
      <c r="I7" s="1096"/>
      <c r="J7" s="1096"/>
      <c r="K7" s="1096"/>
      <c r="L7" s="1096"/>
      <c r="N7" s="699"/>
    </row>
    <row r="8" spans="1:14" ht="20.25" customHeight="1">
      <c r="B8" s="1097" t="s">
        <v>35</v>
      </c>
      <c r="C8" s="1098" t="s">
        <v>192</v>
      </c>
      <c r="D8" s="1099" t="s">
        <v>193</v>
      </c>
      <c r="E8" s="1101" t="s">
        <v>139</v>
      </c>
      <c r="F8" s="1101"/>
      <c r="G8" s="1101"/>
      <c r="H8" s="1101"/>
      <c r="I8" s="1101"/>
      <c r="J8" s="1101"/>
      <c r="K8" s="1101"/>
      <c r="L8" s="1101"/>
    </row>
    <row r="9" spans="1:14" ht="20.25" customHeight="1">
      <c r="B9" s="1097"/>
      <c r="C9" s="1098"/>
      <c r="D9" s="1100"/>
      <c r="E9" s="1101" t="s">
        <v>194</v>
      </c>
      <c r="F9" s="1101"/>
      <c r="G9" s="1102" t="s">
        <v>195</v>
      </c>
      <c r="H9" s="1102"/>
      <c r="I9" s="1102" t="s">
        <v>196</v>
      </c>
      <c r="J9" s="1102"/>
      <c r="K9" s="1102" t="s">
        <v>197</v>
      </c>
      <c r="L9" s="1102"/>
    </row>
    <row r="10" spans="1:14" ht="20.25" customHeight="1">
      <c r="B10" s="1097"/>
      <c r="C10" s="1098"/>
      <c r="D10" s="909"/>
      <c r="E10" s="910" t="s">
        <v>198</v>
      </c>
      <c r="F10" s="910" t="s">
        <v>199</v>
      </c>
      <c r="G10" s="910" t="s">
        <v>198</v>
      </c>
      <c r="H10" s="910" t="s">
        <v>199</v>
      </c>
      <c r="I10" s="910" t="s">
        <v>198</v>
      </c>
      <c r="J10" s="910" t="s">
        <v>199</v>
      </c>
      <c r="K10" s="910" t="s">
        <v>198</v>
      </c>
      <c r="L10" s="910" t="s">
        <v>199</v>
      </c>
    </row>
    <row r="11" spans="1:14" s="286" customFormat="1">
      <c r="B11" s="908" t="s">
        <v>2</v>
      </c>
      <c r="C11" s="909" t="s">
        <v>3</v>
      </c>
      <c r="D11" s="909"/>
      <c r="E11" s="910">
        <v>1</v>
      </c>
      <c r="F11" s="910">
        <v>1</v>
      </c>
      <c r="G11" s="910">
        <v>2</v>
      </c>
      <c r="H11" s="910">
        <v>2</v>
      </c>
      <c r="I11" s="910">
        <v>3</v>
      </c>
      <c r="J11" s="910">
        <v>3</v>
      </c>
      <c r="K11" s="910">
        <v>4</v>
      </c>
      <c r="L11" s="910">
        <v>4</v>
      </c>
      <c r="N11" s="700"/>
    </row>
    <row r="12" spans="1:14" ht="18" customHeight="1">
      <c r="A12" s="287" t="str">
        <f t="shared" ref="A12:A17" si="0"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7"/>
    </row>
    <row r="13" spans="1:14" ht="18" customHeight="1">
      <c r="A13" s="287" t="str">
        <f t="shared" si="0"/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7"/>
    </row>
    <row r="14" spans="1:14" ht="18" customHeight="1">
      <c r="A14" s="287" t="str">
        <f t="shared" si="0"/>
        <v>VL</v>
      </c>
      <c r="B14" s="288">
        <f>IF(C14&lt;&gt;"",ROW()-11,"")</f>
        <v>3</v>
      </c>
      <c r="C14" s="192" t="s">
        <v>888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7"/>
    </row>
    <row r="15" spans="1:14" ht="18" customHeight="1">
      <c r="A15" s="287" t="str">
        <f t="shared" si="0"/>
        <v>VL</v>
      </c>
      <c r="B15" s="288">
        <f>IF(C15&lt;&gt;"",ROW()-11,"")</f>
        <v>4</v>
      </c>
      <c r="C15" s="189" t="s">
        <v>1584</v>
      </c>
      <c r="D15" s="290" t="s">
        <v>336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7"/>
    </row>
    <row r="16" spans="1:14" ht="18.75" customHeight="1">
      <c r="A16" s="287" t="str">
        <f t="shared" si="0"/>
        <v/>
      </c>
      <c r="B16" s="288" t="str">
        <f>IF(C16&lt;&gt;"",ROW()-11,"")</f>
        <v/>
      </c>
      <c r="C16" s="292"/>
      <c r="D16" s="293"/>
      <c r="E16" s="294"/>
      <c r="F16" s="294"/>
      <c r="G16" s="25"/>
      <c r="H16" s="294"/>
      <c r="I16" s="294"/>
      <c r="J16" s="294"/>
      <c r="K16" s="294"/>
      <c r="L16" s="294"/>
      <c r="M16" s="287"/>
    </row>
    <row r="17" spans="1:14" ht="18.75" customHeight="1">
      <c r="A17" s="287" t="str">
        <f t="shared" si="0"/>
        <v/>
      </c>
      <c r="B17" s="908"/>
      <c r="C17" s="295" t="s">
        <v>335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7"/>
    </row>
    <row r="18" spans="1:14" ht="18.75" customHeight="1">
      <c r="A18" s="287"/>
      <c r="B18" s="447"/>
      <c r="C18" s="448"/>
      <c r="D18" s="449"/>
      <c r="E18" s="449"/>
      <c r="F18" s="449">
        <f>F17-CDPS!C20</f>
        <v>0</v>
      </c>
      <c r="G18" s="449"/>
      <c r="H18" s="449">
        <f>H17-CDPS!E20</f>
        <v>0</v>
      </c>
      <c r="I18" s="449"/>
      <c r="J18" s="449">
        <f>J17-CDPS!F20</f>
        <v>0</v>
      </c>
      <c r="K18" s="449"/>
      <c r="L18" s="449">
        <f>L17-CDPS!G20</f>
        <v>0</v>
      </c>
      <c r="M18" s="287"/>
    </row>
    <row r="19" spans="1:14" ht="18.75" customHeight="1">
      <c r="A19" s="287" t="str">
        <f t="shared" ref="A19:A28" si="5">IF(B19&lt;&gt;"","NL","")</f>
        <v>NL</v>
      </c>
      <c r="B19" s="446">
        <f>IF(C19&lt;&gt;"",B18+1,"")</f>
        <v>1</v>
      </c>
      <c r="C19" s="192" t="s">
        <v>710</v>
      </c>
      <c r="D19" s="290" t="s">
        <v>336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7"/>
      <c r="N19" s="287">
        <f>F19/E19</f>
        <v>9000</v>
      </c>
    </row>
    <row r="20" spans="1:14" ht="18.75" customHeight="1">
      <c r="A20" s="287" t="str">
        <f t="shared" si="5"/>
        <v>NL</v>
      </c>
      <c r="B20" s="446">
        <f t="shared" ref="B20:B28" si="8">IF(C20&lt;&gt;"",B19+1,"")</f>
        <v>2</v>
      </c>
      <c r="C20" s="291" t="s">
        <v>706</v>
      </c>
      <c r="D20" s="290" t="s">
        <v>336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7"/>
      <c r="N20" s="287">
        <f>L20/K20</f>
        <v>7964.8318042813453</v>
      </c>
    </row>
    <row r="21" spans="1:14" ht="18.75" customHeight="1">
      <c r="A21" s="287" t="str">
        <f t="shared" si="5"/>
        <v>NL</v>
      </c>
      <c r="B21" s="446">
        <f t="shared" si="8"/>
        <v>3</v>
      </c>
      <c r="C21" s="192" t="s">
        <v>712</v>
      </c>
      <c r="D21" s="290" t="s">
        <v>336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7"/>
      <c r="N21" s="287">
        <f>F21/E21</f>
        <v>8330.9739654197183</v>
      </c>
    </row>
    <row r="22" spans="1:14" ht="18.75" customHeight="1">
      <c r="A22" s="287" t="str">
        <f t="shared" si="5"/>
        <v>NL</v>
      </c>
      <c r="B22" s="446">
        <f t="shared" si="8"/>
        <v>4</v>
      </c>
      <c r="C22" s="291" t="s">
        <v>720</v>
      </c>
      <c r="D22" s="290" t="s">
        <v>336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7"/>
    </row>
    <row r="23" spans="1:14" ht="18" customHeight="1">
      <c r="A23" s="287" t="str">
        <f t="shared" si="5"/>
        <v>NL</v>
      </c>
      <c r="B23" s="446">
        <f t="shared" si="8"/>
        <v>5</v>
      </c>
      <c r="C23" s="189" t="s">
        <v>884</v>
      </c>
      <c r="D23" s="290" t="s">
        <v>336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7"/>
    </row>
    <row r="24" spans="1:14" ht="18" customHeight="1">
      <c r="A24" s="287" t="str">
        <f t="shared" si="5"/>
        <v>NL</v>
      </c>
      <c r="B24" s="446">
        <f t="shared" si="8"/>
        <v>6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7"/>
    </row>
    <row r="25" spans="1:14" ht="18" customHeight="1">
      <c r="A25" s="287" t="str">
        <f t="shared" si="5"/>
        <v>NL</v>
      </c>
      <c r="B25" s="446">
        <f t="shared" si="8"/>
        <v>7</v>
      </c>
      <c r="C25" s="189" t="s">
        <v>1278</v>
      </c>
      <c r="D25" s="290" t="s">
        <v>336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7"/>
    </row>
    <row r="26" spans="1:14" ht="18" customHeight="1">
      <c r="A26" s="287" t="str">
        <f t="shared" si="5"/>
        <v>NL</v>
      </c>
      <c r="B26" s="446">
        <f t="shared" si="8"/>
        <v>8</v>
      </c>
      <c r="C26" s="189" t="s">
        <v>1281</v>
      </c>
      <c r="D26" s="290" t="s">
        <v>336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7"/>
    </row>
    <row r="27" spans="1:14" ht="18" customHeight="1">
      <c r="A27" s="287" t="str">
        <f t="shared" si="5"/>
        <v>NL</v>
      </c>
      <c r="B27" s="446">
        <f t="shared" si="8"/>
        <v>9</v>
      </c>
      <c r="C27" s="876" t="s">
        <v>853</v>
      </c>
      <c r="D27" s="299" t="s">
        <v>1489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7"/>
    </row>
    <row r="28" spans="1:14" ht="18" customHeight="1">
      <c r="A28" s="287" t="str">
        <f t="shared" si="5"/>
        <v>NL</v>
      </c>
      <c r="B28" s="446">
        <f t="shared" si="8"/>
        <v>10</v>
      </c>
      <c r="C28" s="189" t="s">
        <v>856</v>
      </c>
      <c r="D28" s="299" t="s">
        <v>1489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7"/>
    </row>
    <row r="29" spans="1:14" ht="18" customHeight="1">
      <c r="A29" s="287" t="str">
        <f t="shared" ref="A29:A31" si="9">IF(B29&lt;&gt;"","NL","")</f>
        <v>NL</v>
      </c>
      <c r="B29" s="446">
        <f t="shared" ref="B29:B31" si="10">IF(C29&lt;&gt;"",B28+1,"")</f>
        <v>11</v>
      </c>
      <c r="C29" s="192" t="s">
        <v>1276</v>
      </c>
      <c r="D29" s="290" t="s">
        <v>336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7"/>
    </row>
    <row r="30" spans="1:14" ht="18" customHeight="1">
      <c r="A30" s="287" t="str">
        <f t="shared" si="9"/>
        <v>NL</v>
      </c>
      <c r="B30" s="446">
        <f t="shared" si="10"/>
        <v>12</v>
      </c>
      <c r="C30" s="189" t="s">
        <v>1451</v>
      </c>
      <c r="D30" s="290" t="s">
        <v>336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7"/>
    </row>
    <row r="31" spans="1:14" ht="18" customHeight="1">
      <c r="A31" s="287" t="str">
        <f t="shared" si="9"/>
        <v>NL</v>
      </c>
      <c r="B31" s="446">
        <f t="shared" si="10"/>
        <v>13</v>
      </c>
      <c r="C31" s="189" t="s">
        <v>1453</v>
      </c>
      <c r="D31" s="290" t="s">
        <v>336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7"/>
    </row>
    <row r="32" spans="1:14" ht="19.5" customHeight="1">
      <c r="A32" s="287" t="str">
        <f t="shared" ref="A32:A33" si="13">IF(B32&lt;&gt;"","NL","")</f>
        <v/>
      </c>
      <c r="B32" s="288" t="str">
        <f>IF(C32&lt;&gt;"",#REF!+1,"")</f>
        <v/>
      </c>
      <c r="C32" s="296"/>
      <c r="D32" s="297"/>
      <c r="E32" s="298"/>
      <c r="F32" s="298"/>
      <c r="G32" s="298"/>
      <c r="H32" s="298"/>
      <c r="I32" s="298"/>
      <c r="J32" s="298"/>
      <c r="K32" s="8"/>
      <c r="L32" s="8"/>
      <c r="M32" s="287"/>
    </row>
    <row r="33" spans="1:13" ht="19.5" customHeight="1">
      <c r="A33" s="287" t="str">
        <f t="shared" si="13"/>
        <v/>
      </c>
      <c r="B33" s="908"/>
      <c r="C33" s="295" t="s">
        <v>340</v>
      </c>
      <c r="D33" s="908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7"/>
    </row>
    <row r="34" spans="1:13" ht="19.5" customHeight="1">
      <c r="A34" s="287"/>
      <c r="B34" s="447"/>
      <c r="C34" s="448"/>
      <c r="D34" s="447"/>
      <c r="E34" s="449"/>
      <c r="F34" s="449">
        <f>F33-CDPS!C19</f>
        <v>0</v>
      </c>
      <c r="G34" s="449"/>
      <c r="H34" s="449">
        <f>H33-CDPS!E19</f>
        <v>0</v>
      </c>
      <c r="I34" s="449"/>
      <c r="J34" s="449">
        <f>J33-CDPS!F19</f>
        <v>0</v>
      </c>
      <c r="K34" s="449"/>
      <c r="L34" s="449">
        <f>L33-CDPS!G19</f>
        <v>0</v>
      </c>
      <c r="M34" s="287"/>
    </row>
    <row r="35" spans="1:13" ht="19.5" customHeight="1">
      <c r="A35" s="287" t="str">
        <f t="shared" ref="A35:A66" si="15">IF(B35&lt;&gt;"","TP","")</f>
        <v>TP</v>
      </c>
      <c r="B35" s="300">
        <f t="shared" ref="B35:B66" si="16">IF(C35&lt;&gt;"",B34+1,"")</f>
        <v>1</v>
      </c>
      <c r="C35" s="40" t="s">
        <v>1475</v>
      </c>
      <c r="D35" s="299" t="s">
        <v>1489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7"/>
    </row>
    <row r="36" spans="1:13" ht="19.5" customHeight="1">
      <c r="A36" s="287" t="str">
        <f t="shared" si="15"/>
        <v>TP</v>
      </c>
      <c r="B36" s="300">
        <f t="shared" si="16"/>
        <v>2</v>
      </c>
      <c r="C36" s="192" t="s">
        <v>732</v>
      </c>
      <c r="D36" s="299" t="s">
        <v>1489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7"/>
    </row>
    <row r="37" spans="1:13" ht="18" customHeight="1">
      <c r="A37" s="287" t="str">
        <f t="shared" si="15"/>
        <v>TP</v>
      </c>
      <c r="B37" s="300">
        <f t="shared" si="16"/>
        <v>3</v>
      </c>
      <c r="C37" s="40" t="s">
        <v>1352</v>
      </c>
      <c r="D37" s="299" t="s">
        <v>1489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7"/>
    </row>
    <row r="38" spans="1:13" ht="18.75" customHeight="1">
      <c r="A38" s="287" t="str">
        <f t="shared" si="15"/>
        <v>TP</v>
      </c>
      <c r="B38" s="300">
        <f t="shared" si="16"/>
        <v>4</v>
      </c>
      <c r="C38" s="192" t="s">
        <v>737</v>
      </c>
      <c r="D38" s="299" t="s">
        <v>1489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7"/>
    </row>
    <row r="39" spans="1:13" ht="18.75" customHeight="1">
      <c r="A39" s="287" t="str">
        <f t="shared" si="15"/>
        <v>TP</v>
      </c>
      <c r="B39" s="300">
        <f t="shared" si="16"/>
        <v>5</v>
      </c>
      <c r="C39" s="192" t="s">
        <v>730</v>
      </c>
      <c r="D39" s="299" t="s">
        <v>1489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7"/>
    </row>
    <row r="40" spans="1:13" ht="18.75" customHeight="1">
      <c r="A40" s="287" t="str">
        <f t="shared" si="15"/>
        <v>TP</v>
      </c>
      <c r="B40" s="300">
        <f t="shared" si="16"/>
        <v>6</v>
      </c>
      <c r="C40" s="192" t="s">
        <v>1253</v>
      </c>
      <c r="D40" s="299" t="s">
        <v>1489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7"/>
    </row>
    <row r="41" spans="1:13" ht="18.75" customHeight="1">
      <c r="A41" s="287" t="str">
        <f t="shared" si="15"/>
        <v>TP</v>
      </c>
      <c r="B41" s="300">
        <f t="shared" si="16"/>
        <v>7</v>
      </c>
      <c r="C41" s="192" t="s">
        <v>742</v>
      </c>
      <c r="D41" s="299" t="s">
        <v>1489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7"/>
    </row>
    <row r="42" spans="1:13" ht="18.75" customHeight="1">
      <c r="A42" s="287" t="str">
        <f t="shared" si="15"/>
        <v>TP</v>
      </c>
      <c r="B42" s="300">
        <f t="shared" si="16"/>
        <v>8</v>
      </c>
      <c r="C42" s="192" t="s">
        <v>728</v>
      </c>
      <c r="D42" s="299" t="s">
        <v>1489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7"/>
    </row>
    <row r="43" spans="1:13" ht="18.75" customHeight="1">
      <c r="A43" s="287" t="str">
        <f t="shared" si="15"/>
        <v>TP</v>
      </c>
      <c r="B43" s="300">
        <f t="shared" si="16"/>
        <v>9</v>
      </c>
      <c r="C43" s="192" t="s">
        <v>548</v>
      </c>
      <c r="D43" s="299" t="s">
        <v>1489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7"/>
    </row>
    <row r="44" spans="1:13" ht="18.75" customHeight="1">
      <c r="A44" s="287" t="str">
        <f t="shared" si="15"/>
        <v>TP</v>
      </c>
      <c r="B44" s="300">
        <f t="shared" si="16"/>
        <v>10</v>
      </c>
      <c r="C44" s="192" t="s">
        <v>725</v>
      </c>
      <c r="D44" s="299" t="s">
        <v>1489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7"/>
    </row>
    <row r="45" spans="1:13" ht="18.75" customHeight="1">
      <c r="A45" s="287" t="str">
        <f t="shared" si="15"/>
        <v>TP</v>
      </c>
      <c r="B45" s="300">
        <f t="shared" si="16"/>
        <v>11</v>
      </c>
      <c r="C45" s="192" t="s">
        <v>547</v>
      </c>
      <c r="D45" s="299" t="s">
        <v>1489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7"/>
    </row>
    <row r="46" spans="1:13" ht="18.75" customHeight="1">
      <c r="A46" s="287" t="str">
        <f t="shared" si="15"/>
        <v>TP</v>
      </c>
      <c r="B46" s="300">
        <f t="shared" si="16"/>
        <v>12</v>
      </c>
      <c r="C46" s="192" t="s">
        <v>744</v>
      </c>
      <c r="D46" s="299" t="s">
        <v>1489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7"/>
    </row>
    <row r="47" spans="1:13" ht="18.75" customHeight="1">
      <c r="A47" s="287" t="str">
        <f t="shared" si="15"/>
        <v>TP</v>
      </c>
      <c r="B47" s="300">
        <f t="shared" si="16"/>
        <v>13</v>
      </c>
      <c r="C47" s="192" t="s">
        <v>734</v>
      </c>
      <c r="D47" s="299" t="s">
        <v>1489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7"/>
    </row>
    <row r="48" spans="1:13" ht="18.75" customHeight="1">
      <c r="A48" s="287" t="str">
        <f t="shared" si="15"/>
        <v>TP</v>
      </c>
      <c r="B48" s="300">
        <f t="shared" si="16"/>
        <v>14</v>
      </c>
      <c r="C48" s="192" t="s">
        <v>727</v>
      </c>
      <c r="D48" s="299" t="s">
        <v>1489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7"/>
    </row>
    <row r="49" spans="1:13" ht="18.75" customHeight="1">
      <c r="A49" s="287" t="str">
        <f t="shared" si="15"/>
        <v>TP</v>
      </c>
      <c r="B49" s="300">
        <f t="shared" si="16"/>
        <v>15</v>
      </c>
      <c r="C49" s="192" t="s">
        <v>1256</v>
      </c>
      <c r="D49" s="299" t="s">
        <v>1489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7"/>
    </row>
    <row r="50" spans="1:13" ht="18.75" customHeight="1">
      <c r="A50" s="287" t="str">
        <f t="shared" si="15"/>
        <v>TP</v>
      </c>
      <c r="B50" s="300">
        <f t="shared" si="16"/>
        <v>16</v>
      </c>
      <c r="C50" s="192" t="s">
        <v>741</v>
      </c>
      <c r="D50" s="299" t="s">
        <v>1489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7"/>
    </row>
    <row r="51" spans="1:13" ht="18.75" customHeight="1">
      <c r="A51" s="287" t="str">
        <f t="shared" si="15"/>
        <v>TP</v>
      </c>
      <c r="B51" s="300">
        <f t="shared" si="16"/>
        <v>17</v>
      </c>
      <c r="C51" s="189" t="s">
        <v>1239</v>
      </c>
      <c r="D51" s="299" t="s">
        <v>1489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7"/>
    </row>
    <row r="52" spans="1:13" ht="18.75" customHeight="1">
      <c r="A52" s="287" t="str">
        <f t="shared" si="15"/>
        <v>TP</v>
      </c>
      <c r="B52" s="300">
        <f t="shared" si="16"/>
        <v>18</v>
      </c>
      <c r="C52" s="192" t="s">
        <v>1252</v>
      </c>
      <c r="D52" s="299" t="s">
        <v>1489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7"/>
    </row>
    <row r="53" spans="1:13" ht="18.75" customHeight="1">
      <c r="A53" s="287" t="str">
        <f t="shared" si="15"/>
        <v>TP</v>
      </c>
      <c r="B53" s="300">
        <f t="shared" si="16"/>
        <v>19</v>
      </c>
      <c r="C53" s="192" t="s">
        <v>1262</v>
      </c>
      <c r="D53" s="299" t="s">
        <v>1489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7"/>
    </row>
    <row r="54" spans="1:13" ht="18.75" customHeight="1">
      <c r="A54" s="287" t="str">
        <f t="shared" si="15"/>
        <v>TP</v>
      </c>
      <c r="B54" s="300">
        <f t="shared" si="16"/>
        <v>20</v>
      </c>
      <c r="C54" s="192" t="s">
        <v>735</v>
      </c>
      <c r="D54" s="299" t="s">
        <v>1489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7"/>
    </row>
    <row r="55" spans="1:13" ht="18.75" customHeight="1">
      <c r="A55" s="287" t="str">
        <f t="shared" si="15"/>
        <v>TP</v>
      </c>
      <c r="B55" s="300">
        <f t="shared" si="16"/>
        <v>21</v>
      </c>
      <c r="C55" s="192" t="s">
        <v>1237</v>
      </c>
      <c r="D55" s="299" t="s">
        <v>1489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7"/>
    </row>
    <row r="56" spans="1:13" ht="18.75" customHeight="1">
      <c r="A56" s="287" t="str">
        <f t="shared" si="15"/>
        <v>TP</v>
      </c>
      <c r="B56" s="300">
        <f t="shared" si="16"/>
        <v>22</v>
      </c>
      <c r="C56" s="189" t="s">
        <v>1238</v>
      </c>
      <c r="D56" s="299" t="s">
        <v>1489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7"/>
    </row>
    <row r="57" spans="1:13" ht="18.75" customHeight="1">
      <c r="A57" s="287" t="str">
        <f t="shared" si="15"/>
        <v>TP</v>
      </c>
      <c r="B57" s="300">
        <f t="shared" si="16"/>
        <v>23</v>
      </c>
      <c r="C57" s="192" t="s">
        <v>743</v>
      </c>
      <c r="D57" s="299" t="s">
        <v>1489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7"/>
    </row>
    <row r="58" spans="1:13" ht="18.75" customHeight="1">
      <c r="A58" s="287" t="str">
        <f t="shared" si="15"/>
        <v>TP</v>
      </c>
      <c r="B58" s="300">
        <f t="shared" si="16"/>
        <v>24</v>
      </c>
      <c r="C58" s="40" t="s">
        <v>562</v>
      </c>
      <c r="D58" s="299" t="s">
        <v>1489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7"/>
    </row>
    <row r="59" spans="1:13" ht="18.75" customHeight="1">
      <c r="A59" s="287" t="str">
        <f t="shared" si="15"/>
        <v>TP</v>
      </c>
      <c r="B59" s="300">
        <f t="shared" si="16"/>
        <v>25</v>
      </c>
      <c r="C59" s="192" t="s">
        <v>1244</v>
      </c>
      <c r="D59" s="299" t="s">
        <v>1489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7"/>
    </row>
    <row r="60" spans="1:13" ht="18.75" customHeight="1">
      <c r="A60" s="287" t="str">
        <f t="shared" si="15"/>
        <v>TP</v>
      </c>
      <c r="B60" s="300">
        <f t="shared" si="16"/>
        <v>26</v>
      </c>
      <c r="C60" s="192" t="s">
        <v>1258</v>
      </c>
      <c r="D60" s="299" t="s">
        <v>1489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7"/>
    </row>
    <row r="61" spans="1:13" ht="18.75" customHeight="1">
      <c r="A61" s="287" t="str">
        <f t="shared" si="15"/>
        <v>TP</v>
      </c>
      <c r="B61" s="300">
        <f t="shared" si="16"/>
        <v>27</v>
      </c>
      <c r="C61" s="192" t="s">
        <v>1245</v>
      </c>
      <c r="D61" s="299" t="s">
        <v>1489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7"/>
    </row>
    <row r="62" spans="1:13" ht="18.75" customHeight="1">
      <c r="A62" s="287" t="str">
        <f t="shared" si="15"/>
        <v>TP</v>
      </c>
      <c r="B62" s="300">
        <f t="shared" si="16"/>
        <v>28</v>
      </c>
      <c r="C62" s="192" t="s">
        <v>1260</v>
      </c>
      <c r="D62" s="299" t="s">
        <v>1489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7"/>
    </row>
    <row r="63" spans="1:13" ht="18.75" customHeight="1">
      <c r="A63" s="287" t="str">
        <f t="shared" si="15"/>
        <v>TP</v>
      </c>
      <c r="B63" s="300">
        <f t="shared" si="16"/>
        <v>29</v>
      </c>
      <c r="C63" s="192" t="s">
        <v>1275</v>
      </c>
      <c r="D63" s="299" t="s">
        <v>1489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7"/>
    </row>
    <row r="64" spans="1:13" ht="18.75" customHeight="1">
      <c r="A64" s="287" t="str">
        <f t="shared" si="15"/>
        <v>TP</v>
      </c>
      <c r="B64" s="300">
        <f t="shared" si="16"/>
        <v>30</v>
      </c>
      <c r="C64" s="189" t="s">
        <v>1243</v>
      </c>
      <c r="D64" s="299" t="s">
        <v>1489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7"/>
    </row>
    <row r="65" spans="1:13" ht="18.75" customHeight="1">
      <c r="A65" s="287" t="str">
        <f t="shared" si="15"/>
        <v>TP</v>
      </c>
      <c r="B65" s="300">
        <f t="shared" si="16"/>
        <v>31</v>
      </c>
      <c r="C65" s="189" t="s">
        <v>1242</v>
      </c>
      <c r="D65" s="299" t="s">
        <v>1489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7"/>
    </row>
    <row r="66" spans="1:13" ht="18.75" customHeight="1">
      <c r="A66" s="287" t="str">
        <f t="shared" si="15"/>
        <v>TP</v>
      </c>
      <c r="B66" s="300">
        <f t="shared" si="16"/>
        <v>32</v>
      </c>
      <c r="C66" s="192" t="s">
        <v>1257</v>
      </c>
      <c r="D66" s="299" t="s">
        <v>1489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7"/>
    </row>
    <row r="67" spans="1:13" ht="18.75" customHeight="1">
      <c r="A67" s="287" t="str">
        <f t="shared" ref="A67:A98" si="19">IF(B67&lt;&gt;"","TP","")</f>
        <v>TP</v>
      </c>
      <c r="B67" s="300">
        <f t="shared" ref="B67:B98" si="20">IF(C67&lt;&gt;"",B66+1,"")</f>
        <v>33</v>
      </c>
      <c r="C67" s="192" t="s">
        <v>724</v>
      </c>
      <c r="D67" s="299" t="s">
        <v>1489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7"/>
    </row>
    <row r="68" spans="1:13" ht="18.75" customHeight="1">
      <c r="A68" s="287" t="str">
        <f t="shared" si="19"/>
        <v>TP</v>
      </c>
      <c r="B68" s="300">
        <f t="shared" si="20"/>
        <v>34</v>
      </c>
      <c r="C68" s="192" t="s">
        <v>1250</v>
      </c>
      <c r="D68" s="299" t="s">
        <v>1489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7"/>
    </row>
    <row r="69" spans="1:13" ht="18.75" customHeight="1">
      <c r="A69" s="287" t="str">
        <f t="shared" si="19"/>
        <v>TP</v>
      </c>
      <c r="B69" s="300">
        <f t="shared" si="20"/>
        <v>35</v>
      </c>
      <c r="C69" s="192" t="s">
        <v>1251</v>
      </c>
      <c r="D69" s="299" t="s">
        <v>1489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7"/>
    </row>
    <row r="70" spans="1:13" ht="18.75" customHeight="1">
      <c r="A70" s="287" t="str">
        <f t="shared" si="19"/>
        <v>TP</v>
      </c>
      <c r="B70" s="300">
        <f t="shared" si="20"/>
        <v>36</v>
      </c>
      <c r="C70" s="192" t="s">
        <v>563</v>
      </c>
      <c r="D70" s="299" t="s">
        <v>1489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7"/>
    </row>
    <row r="71" spans="1:13" ht="18.75" customHeight="1">
      <c r="A71" s="287" t="str">
        <f t="shared" si="19"/>
        <v>TP</v>
      </c>
      <c r="B71" s="300">
        <f t="shared" si="20"/>
        <v>37</v>
      </c>
      <c r="C71" s="192" t="s">
        <v>1249</v>
      </c>
      <c r="D71" s="299" t="s">
        <v>1489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7"/>
    </row>
    <row r="72" spans="1:13" ht="18.75" customHeight="1">
      <c r="A72" s="287" t="str">
        <f t="shared" si="19"/>
        <v>TP</v>
      </c>
      <c r="B72" s="300">
        <f t="shared" si="20"/>
        <v>38</v>
      </c>
      <c r="C72" s="192" t="s">
        <v>1254</v>
      </c>
      <c r="D72" s="299" t="s">
        <v>1489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7"/>
    </row>
    <row r="73" spans="1:13" ht="18.75" customHeight="1">
      <c r="A73" s="287" t="str">
        <f t="shared" si="19"/>
        <v>TP</v>
      </c>
      <c r="B73" s="300">
        <f t="shared" si="20"/>
        <v>39</v>
      </c>
      <c r="C73" s="192" t="s">
        <v>1246</v>
      </c>
      <c r="D73" s="299" t="s">
        <v>1489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7"/>
    </row>
    <row r="74" spans="1:13" ht="18.75" customHeight="1">
      <c r="A74" s="287" t="str">
        <f t="shared" si="19"/>
        <v>TP</v>
      </c>
      <c r="B74" s="300">
        <f t="shared" si="20"/>
        <v>40</v>
      </c>
      <c r="C74" s="192" t="s">
        <v>738</v>
      </c>
      <c r="D74" s="299" t="s">
        <v>1489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7"/>
    </row>
    <row r="75" spans="1:13" ht="18.75" customHeight="1">
      <c r="A75" s="287" t="str">
        <f t="shared" si="19"/>
        <v>TP</v>
      </c>
      <c r="B75" s="300">
        <f t="shared" si="20"/>
        <v>41</v>
      </c>
      <c r="C75" s="192" t="s">
        <v>1263</v>
      </c>
      <c r="D75" s="299" t="s">
        <v>1489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7"/>
    </row>
    <row r="76" spans="1:13" ht="18.75" customHeight="1">
      <c r="A76" s="287" t="str">
        <f t="shared" si="19"/>
        <v>TP</v>
      </c>
      <c r="B76" s="300">
        <f t="shared" si="20"/>
        <v>42</v>
      </c>
      <c r="C76" s="192" t="s">
        <v>726</v>
      </c>
      <c r="D76" s="299" t="s">
        <v>1489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7"/>
    </row>
    <row r="77" spans="1:13" ht="18.75" customHeight="1">
      <c r="A77" s="287" t="str">
        <f t="shared" si="19"/>
        <v>TP</v>
      </c>
      <c r="B77" s="300">
        <f t="shared" si="20"/>
        <v>43</v>
      </c>
      <c r="C77" s="192" t="s">
        <v>736</v>
      </c>
      <c r="D77" s="299" t="s">
        <v>1489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7"/>
    </row>
    <row r="78" spans="1:13" ht="18.75" customHeight="1">
      <c r="A78" s="287" t="str">
        <f t="shared" si="19"/>
        <v>TP</v>
      </c>
      <c r="B78" s="300">
        <f t="shared" si="20"/>
        <v>44</v>
      </c>
      <c r="C78" s="192" t="s">
        <v>560</v>
      </c>
      <c r="D78" s="299" t="s">
        <v>1489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7"/>
    </row>
    <row r="79" spans="1:13" ht="18" customHeight="1">
      <c r="A79" s="287" t="str">
        <f t="shared" si="19"/>
        <v>TP</v>
      </c>
      <c r="B79" s="300">
        <f t="shared" si="20"/>
        <v>45</v>
      </c>
      <c r="C79" s="192" t="s">
        <v>561</v>
      </c>
      <c r="D79" s="299" t="s">
        <v>1489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7"/>
    </row>
    <row r="80" spans="1:13" ht="18" customHeight="1">
      <c r="A80" s="287" t="str">
        <f t="shared" si="19"/>
        <v>TP</v>
      </c>
      <c r="B80" s="300">
        <f t="shared" si="20"/>
        <v>46</v>
      </c>
      <c r="C80" s="192" t="s">
        <v>729</v>
      </c>
      <c r="D80" s="299" t="s">
        <v>1489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7"/>
    </row>
    <row r="81" spans="1:13" ht="18.75" customHeight="1">
      <c r="A81" s="287" t="str">
        <f t="shared" si="19"/>
        <v>TP</v>
      </c>
      <c r="B81" s="300">
        <f t="shared" si="20"/>
        <v>47</v>
      </c>
      <c r="C81" s="192" t="s">
        <v>739</v>
      </c>
      <c r="D81" s="299" t="s">
        <v>1489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7"/>
    </row>
    <row r="82" spans="1:13" ht="18.75" customHeight="1">
      <c r="A82" s="287" t="str">
        <f t="shared" si="19"/>
        <v>TP</v>
      </c>
      <c r="B82" s="300">
        <f t="shared" si="20"/>
        <v>48</v>
      </c>
      <c r="C82" s="192" t="s">
        <v>740</v>
      </c>
      <c r="D82" s="299" t="s">
        <v>1489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7"/>
    </row>
    <row r="83" spans="1:13" ht="18.75" customHeight="1">
      <c r="A83" s="287" t="str">
        <f t="shared" si="19"/>
        <v>TP</v>
      </c>
      <c r="B83" s="300">
        <f t="shared" si="20"/>
        <v>49</v>
      </c>
      <c r="C83" s="192" t="s">
        <v>1259</v>
      </c>
      <c r="D83" s="299" t="s">
        <v>1489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7"/>
    </row>
    <row r="84" spans="1:13" ht="18.75" customHeight="1">
      <c r="A84" s="287" t="str">
        <f t="shared" si="19"/>
        <v>TP</v>
      </c>
      <c r="B84" s="300">
        <f t="shared" si="20"/>
        <v>50</v>
      </c>
      <c r="C84" s="192" t="s">
        <v>1247</v>
      </c>
      <c r="D84" s="299" t="s">
        <v>1489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7"/>
    </row>
    <row r="85" spans="1:13" ht="18.75" customHeight="1">
      <c r="A85" s="287" t="str">
        <f t="shared" si="19"/>
        <v>TP</v>
      </c>
      <c r="B85" s="300">
        <f t="shared" si="20"/>
        <v>51</v>
      </c>
      <c r="C85" s="192" t="s">
        <v>1240</v>
      </c>
      <c r="D85" s="299" t="s">
        <v>1489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7"/>
    </row>
    <row r="86" spans="1:13" ht="18.75" customHeight="1">
      <c r="A86" s="287" t="str">
        <f t="shared" si="19"/>
        <v>TP</v>
      </c>
      <c r="B86" s="300">
        <f t="shared" si="20"/>
        <v>52</v>
      </c>
      <c r="C86" s="192" t="s">
        <v>1248</v>
      </c>
      <c r="D86" s="299" t="s">
        <v>1489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7"/>
    </row>
    <row r="87" spans="1:13" ht="18.75" customHeight="1">
      <c r="A87" s="287" t="str">
        <f t="shared" si="19"/>
        <v>TP</v>
      </c>
      <c r="B87" s="300">
        <f t="shared" si="20"/>
        <v>53</v>
      </c>
      <c r="C87" s="192" t="s">
        <v>733</v>
      </c>
      <c r="D87" s="299" t="s">
        <v>1489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7"/>
    </row>
    <row r="88" spans="1:13" ht="18.75" customHeight="1">
      <c r="A88" s="287" t="str">
        <f t="shared" si="19"/>
        <v>TP</v>
      </c>
      <c r="B88" s="300">
        <f t="shared" si="20"/>
        <v>54</v>
      </c>
      <c r="C88" s="192" t="s">
        <v>1241</v>
      </c>
      <c r="D88" s="299" t="s">
        <v>1489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7"/>
    </row>
    <row r="89" spans="1:13" ht="18.75" customHeight="1">
      <c r="A89" s="287" t="str">
        <f t="shared" si="19"/>
        <v>TP</v>
      </c>
      <c r="B89" s="300">
        <f t="shared" si="20"/>
        <v>55</v>
      </c>
      <c r="C89" s="192" t="s">
        <v>546</v>
      </c>
      <c r="D89" s="299" t="s">
        <v>1489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7"/>
    </row>
    <row r="90" spans="1:13" ht="18.75" customHeight="1">
      <c r="A90" s="287" t="str">
        <f t="shared" si="19"/>
        <v>TP</v>
      </c>
      <c r="B90" s="300">
        <f t="shared" si="20"/>
        <v>56</v>
      </c>
      <c r="C90" s="192" t="s">
        <v>1261</v>
      </c>
      <c r="D90" s="299" t="s">
        <v>1489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7"/>
    </row>
    <row r="91" spans="1:13" ht="18.75" customHeight="1">
      <c r="A91" s="287" t="str">
        <f t="shared" si="19"/>
        <v>TP</v>
      </c>
      <c r="B91" s="300">
        <f t="shared" si="20"/>
        <v>57</v>
      </c>
      <c r="C91" s="192" t="s">
        <v>1236</v>
      </c>
      <c r="D91" s="299" t="s">
        <v>1489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7"/>
    </row>
    <row r="92" spans="1:13" ht="18.75" customHeight="1">
      <c r="A92" s="287" t="str">
        <f t="shared" si="19"/>
        <v>TP</v>
      </c>
      <c r="B92" s="300">
        <f t="shared" si="20"/>
        <v>58</v>
      </c>
      <c r="C92" s="192" t="s">
        <v>1255</v>
      </c>
      <c r="D92" s="299" t="s">
        <v>1489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7"/>
    </row>
    <row r="93" spans="1:13" ht="18.75" customHeight="1">
      <c r="A93" s="287" t="str">
        <f t="shared" si="19"/>
        <v>TP</v>
      </c>
      <c r="B93" s="300">
        <f t="shared" si="20"/>
        <v>59</v>
      </c>
      <c r="C93" s="192" t="s">
        <v>731</v>
      </c>
      <c r="D93" s="299" t="s">
        <v>1489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7"/>
    </row>
    <row r="94" spans="1:13" ht="18.75" customHeight="1">
      <c r="A94" s="287" t="str">
        <f t="shared" si="19"/>
        <v>TP</v>
      </c>
      <c r="B94" s="300">
        <f t="shared" si="20"/>
        <v>60</v>
      </c>
      <c r="C94" s="192" t="s">
        <v>1464</v>
      </c>
      <c r="D94" s="299" t="s">
        <v>1490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7"/>
    </row>
    <row r="95" spans="1:13" ht="19.5" customHeight="1">
      <c r="A95" s="287" t="str">
        <f t="shared" si="19"/>
        <v>TP</v>
      </c>
      <c r="B95" s="300">
        <f t="shared" si="20"/>
        <v>61</v>
      </c>
      <c r="C95" s="189" t="s">
        <v>1463</v>
      </c>
      <c r="D95" s="299" t="s">
        <v>1490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7"/>
    </row>
    <row r="96" spans="1:13" ht="19.5" customHeight="1">
      <c r="A96" s="287" t="str">
        <f t="shared" si="19"/>
        <v>TP</v>
      </c>
      <c r="B96" s="300">
        <f t="shared" si="20"/>
        <v>62</v>
      </c>
      <c r="C96" s="40" t="s">
        <v>1401</v>
      </c>
      <c r="D96" s="299" t="s">
        <v>1489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7"/>
    </row>
    <row r="97" spans="1:13" ht="19.5" customHeight="1">
      <c r="A97" s="287" t="str">
        <f t="shared" si="19"/>
        <v>TP</v>
      </c>
      <c r="B97" s="300">
        <f t="shared" si="20"/>
        <v>63</v>
      </c>
      <c r="C97" s="40" t="s">
        <v>1351</v>
      </c>
      <c r="D97" s="299" t="s">
        <v>1489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7"/>
    </row>
    <row r="98" spans="1:13" ht="19.5" customHeight="1">
      <c r="A98" s="287" t="str">
        <f t="shared" si="19"/>
        <v>TP</v>
      </c>
      <c r="B98" s="300">
        <f t="shared" si="20"/>
        <v>64</v>
      </c>
      <c r="C98" s="40" t="s">
        <v>1400</v>
      </c>
      <c r="D98" s="299" t="s">
        <v>1489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7"/>
    </row>
    <row r="99" spans="1:13" ht="19.5" customHeight="1">
      <c r="A99" s="287" t="str">
        <f t="shared" ref="A99:A130" si="21">IF(B99&lt;&gt;"","TP","")</f>
        <v>TP</v>
      </c>
      <c r="B99" s="300">
        <f t="shared" ref="B99:B130" si="22">IF(C99&lt;&gt;"",B98+1,"")</f>
        <v>65</v>
      </c>
      <c r="C99" s="192" t="s">
        <v>1234</v>
      </c>
      <c r="D99" s="299" t="s">
        <v>1489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7"/>
    </row>
    <row r="100" spans="1:13" ht="19.5" customHeight="1">
      <c r="A100" s="287" t="str">
        <f t="shared" si="21"/>
        <v>TP</v>
      </c>
      <c r="B100" s="300">
        <f t="shared" si="22"/>
        <v>66</v>
      </c>
      <c r="C100" s="192" t="s">
        <v>1232</v>
      </c>
      <c r="D100" s="299" t="s">
        <v>1489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7"/>
    </row>
    <row r="101" spans="1:13" ht="19.5" customHeight="1">
      <c r="A101" s="287" t="str">
        <f t="shared" si="21"/>
        <v>TP</v>
      </c>
      <c r="B101" s="300">
        <f t="shared" si="22"/>
        <v>67</v>
      </c>
      <c r="C101" s="189" t="s">
        <v>1233</v>
      </c>
      <c r="D101" s="299" t="s">
        <v>1489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7"/>
    </row>
    <row r="102" spans="1:13" ht="19.5" customHeight="1">
      <c r="A102" s="287" t="str">
        <f t="shared" si="21"/>
        <v>TP</v>
      </c>
      <c r="B102" s="300">
        <f t="shared" si="22"/>
        <v>68</v>
      </c>
      <c r="C102" s="192" t="s">
        <v>1268</v>
      </c>
      <c r="D102" s="299" t="s">
        <v>1489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7"/>
    </row>
    <row r="103" spans="1:13" ht="19.5" customHeight="1">
      <c r="A103" s="287" t="str">
        <f t="shared" si="21"/>
        <v>TP</v>
      </c>
      <c r="B103" s="300">
        <f t="shared" si="22"/>
        <v>69</v>
      </c>
      <c r="C103" s="192" t="s">
        <v>1271</v>
      </c>
      <c r="D103" s="299" t="s">
        <v>1489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7"/>
    </row>
    <row r="104" spans="1:13" ht="19.5" customHeight="1">
      <c r="A104" s="287" t="str">
        <f t="shared" si="21"/>
        <v>TP</v>
      </c>
      <c r="B104" s="300">
        <f t="shared" si="22"/>
        <v>70</v>
      </c>
      <c r="C104" s="192" t="s">
        <v>1272</v>
      </c>
      <c r="D104" s="299" t="s">
        <v>1489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7"/>
    </row>
    <row r="105" spans="1:13" ht="19.5" customHeight="1">
      <c r="A105" s="287" t="str">
        <f t="shared" si="21"/>
        <v>TP</v>
      </c>
      <c r="B105" s="300">
        <f t="shared" si="22"/>
        <v>71</v>
      </c>
      <c r="C105" s="192" t="s">
        <v>1265</v>
      </c>
      <c r="D105" s="299" t="s">
        <v>1489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7"/>
    </row>
    <row r="106" spans="1:13" ht="19.5" customHeight="1">
      <c r="A106" s="287" t="str">
        <f t="shared" si="21"/>
        <v>TP</v>
      </c>
      <c r="B106" s="300">
        <f t="shared" si="22"/>
        <v>72</v>
      </c>
      <c r="C106" s="189" t="s">
        <v>723</v>
      </c>
      <c r="D106" s="299" t="s">
        <v>1489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7"/>
    </row>
    <row r="107" spans="1:13" ht="19.5" customHeight="1">
      <c r="A107" s="287" t="str">
        <f t="shared" si="21"/>
        <v>TP</v>
      </c>
      <c r="B107" s="300">
        <f t="shared" si="22"/>
        <v>73</v>
      </c>
      <c r="C107" s="192" t="s">
        <v>1273</v>
      </c>
      <c r="D107" s="299" t="s">
        <v>1489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7"/>
    </row>
    <row r="108" spans="1:13" ht="19.5" customHeight="1">
      <c r="A108" s="287" t="str">
        <f t="shared" si="21"/>
        <v>TP</v>
      </c>
      <c r="B108" s="300">
        <f t="shared" si="22"/>
        <v>74</v>
      </c>
      <c r="C108" s="192" t="s">
        <v>1270</v>
      </c>
      <c r="D108" s="299" t="s">
        <v>1489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7"/>
    </row>
    <row r="109" spans="1:13" ht="19.5" customHeight="1">
      <c r="A109" s="287" t="str">
        <f t="shared" si="21"/>
        <v>TP</v>
      </c>
      <c r="B109" s="300">
        <f t="shared" si="22"/>
        <v>75</v>
      </c>
      <c r="C109" s="192" t="s">
        <v>1267</v>
      </c>
      <c r="D109" s="299" t="s">
        <v>1489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7"/>
    </row>
    <row r="110" spans="1:13" ht="19.5" customHeight="1">
      <c r="A110" s="287" t="str">
        <f t="shared" si="21"/>
        <v>TP</v>
      </c>
      <c r="B110" s="300">
        <f t="shared" si="22"/>
        <v>76</v>
      </c>
      <c r="C110" s="192" t="s">
        <v>1266</v>
      </c>
      <c r="D110" s="299" t="s">
        <v>1489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7"/>
    </row>
    <row r="111" spans="1:13" ht="19.5" customHeight="1">
      <c r="A111" s="287" t="str">
        <f t="shared" si="21"/>
        <v>TP</v>
      </c>
      <c r="B111" s="300">
        <f t="shared" si="22"/>
        <v>77</v>
      </c>
      <c r="C111" s="192" t="s">
        <v>1274</v>
      </c>
      <c r="D111" s="299" t="s">
        <v>1489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7"/>
    </row>
    <row r="112" spans="1:13" ht="19.5" customHeight="1">
      <c r="A112" s="287" t="str">
        <f t="shared" si="21"/>
        <v>TP</v>
      </c>
      <c r="B112" s="300">
        <f t="shared" si="22"/>
        <v>78</v>
      </c>
      <c r="C112" s="192" t="s">
        <v>1264</v>
      </c>
      <c r="D112" s="299" t="s">
        <v>1489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7"/>
    </row>
    <row r="113" spans="1:13" ht="19.5" customHeight="1">
      <c r="A113" s="287" t="str">
        <f t="shared" si="21"/>
        <v>TP</v>
      </c>
      <c r="B113" s="300">
        <f t="shared" si="22"/>
        <v>79</v>
      </c>
      <c r="C113" s="192" t="s">
        <v>1269</v>
      </c>
      <c r="D113" s="299" t="s">
        <v>1489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7"/>
    </row>
    <row r="114" spans="1:13" ht="19.5" customHeight="1">
      <c r="A114" s="287" t="str">
        <f t="shared" si="21"/>
        <v>TP</v>
      </c>
      <c r="B114" s="300">
        <f t="shared" si="22"/>
        <v>80</v>
      </c>
      <c r="C114" s="192" t="s">
        <v>448</v>
      </c>
      <c r="D114" s="299" t="s">
        <v>1490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7"/>
    </row>
    <row r="115" spans="1:13" ht="19.5" customHeight="1">
      <c r="A115" s="287" t="str">
        <f t="shared" si="21"/>
        <v>TP</v>
      </c>
      <c r="B115" s="300">
        <f t="shared" si="22"/>
        <v>81</v>
      </c>
      <c r="C115" s="192" t="s">
        <v>943</v>
      </c>
      <c r="D115" s="299" t="s">
        <v>1490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7"/>
    </row>
    <row r="116" spans="1:13" ht="19.5" customHeight="1">
      <c r="A116" s="287" t="str">
        <f t="shared" si="21"/>
        <v>TP</v>
      </c>
      <c r="B116" s="300">
        <f t="shared" si="22"/>
        <v>82</v>
      </c>
      <c r="C116" s="189" t="s">
        <v>637</v>
      </c>
      <c r="D116" s="299" t="s">
        <v>1490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7"/>
    </row>
    <row r="117" spans="1:13" ht="19.5" customHeight="1">
      <c r="A117" s="287" t="str">
        <f t="shared" si="21"/>
        <v>TP</v>
      </c>
      <c r="B117" s="300">
        <f t="shared" si="22"/>
        <v>83</v>
      </c>
      <c r="C117" s="192" t="s">
        <v>1054</v>
      </c>
      <c r="D117" s="299" t="s">
        <v>1490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7"/>
    </row>
    <row r="118" spans="1:13" ht="19.5" customHeight="1">
      <c r="A118" s="287" t="str">
        <f t="shared" si="21"/>
        <v>TP</v>
      </c>
      <c r="B118" s="300">
        <f t="shared" si="22"/>
        <v>84</v>
      </c>
      <c r="C118" s="189" t="s">
        <v>1041</v>
      </c>
      <c r="D118" s="299" t="s">
        <v>1490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7"/>
    </row>
    <row r="119" spans="1:13" ht="19.5" customHeight="1">
      <c r="A119" s="287" t="str">
        <f t="shared" si="21"/>
        <v>TP</v>
      </c>
      <c r="B119" s="300">
        <f t="shared" si="22"/>
        <v>85</v>
      </c>
      <c r="C119" s="189" t="s">
        <v>1053</v>
      </c>
      <c r="D119" s="299" t="s">
        <v>1490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7"/>
    </row>
    <row r="120" spans="1:13" ht="19.5" customHeight="1">
      <c r="A120" s="287" t="str">
        <f t="shared" si="21"/>
        <v>TP</v>
      </c>
      <c r="B120" s="300">
        <f t="shared" si="22"/>
        <v>86</v>
      </c>
      <c r="C120" s="192" t="s">
        <v>1024</v>
      </c>
      <c r="D120" s="299" t="s">
        <v>1490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7"/>
    </row>
    <row r="121" spans="1:13" ht="19.5" customHeight="1">
      <c r="A121" s="287" t="str">
        <f t="shared" si="21"/>
        <v>TP</v>
      </c>
      <c r="B121" s="300">
        <f t="shared" si="22"/>
        <v>87</v>
      </c>
      <c r="C121" s="192" t="s">
        <v>1013</v>
      </c>
      <c r="D121" s="299" t="s">
        <v>1490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7"/>
    </row>
    <row r="122" spans="1:13" ht="19.5" customHeight="1">
      <c r="A122" s="287" t="str">
        <f t="shared" si="21"/>
        <v>TP</v>
      </c>
      <c r="B122" s="300">
        <f t="shared" si="22"/>
        <v>88</v>
      </c>
      <c r="C122" s="192" t="s">
        <v>1014</v>
      </c>
      <c r="D122" s="299" t="s">
        <v>1490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7"/>
    </row>
    <row r="123" spans="1:13" ht="19.5" customHeight="1">
      <c r="A123" s="287" t="str">
        <f t="shared" si="21"/>
        <v>TP</v>
      </c>
      <c r="B123" s="300">
        <f t="shared" si="22"/>
        <v>89</v>
      </c>
      <c r="C123" s="189" t="s">
        <v>1009</v>
      </c>
      <c r="D123" s="299" t="s">
        <v>1490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7"/>
    </row>
    <row r="124" spans="1:13" ht="19.5" customHeight="1">
      <c r="A124" s="287" t="str">
        <f t="shared" si="21"/>
        <v>TP</v>
      </c>
      <c r="B124" s="300">
        <f t="shared" si="22"/>
        <v>90</v>
      </c>
      <c r="C124" s="189" t="s">
        <v>1007</v>
      </c>
      <c r="D124" s="299" t="s">
        <v>1490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7"/>
    </row>
    <row r="125" spans="1:13" ht="19.5" customHeight="1">
      <c r="A125" s="287" t="str">
        <f t="shared" si="21"/>
        <v>TP</v>
      </c>
      <c r="B125" s="300">
        <f t="shared" si="22"/>
        <v>91</v>
      </c>
      <c r="C125" s="40" t="s">
        <v>1099</v>
      </c>
      <c r="D125" s="299" t="s">
        <v>1490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7"/>
    </row>
    <row r="126" spans="1:13" ht="19.5" customHeight="1">
      <c r="A126" s="287" t="str">
        <f t="shared" si="21"/>
        <v>TP</v>
      </c>
      <c r="B126" s="300">
        <f t="shared" si="22"/>
        <v>92</v>
      </c>
      <c r="C126" s="40" t="s">
        <v>1293</v>
      </c>
      <c r="D126" s="299" t="s">
        <v>1490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7"/>
    </row>
    <row r="127" spans="1:13" ht="19.5" customHeight="1">
      <c r="A127" s="287" t="str">
        <f t="shared" si="21"/>
        <v>TP</v>
      </c>
      <c r="B127" s="300">
        <f t="shared" si="22"/>
        <v>93</v>
      </c>
      <c r="C127" s="192" t="s">
        <v>525</v>
      </c>
      <c r="D127" s="299" t="s">
        <v>1490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7"/>
    </row>
    <row r="128" spans="1:13" ht="19.5" customHeight="1">
      <c r="A128" s="287" t="str">
        <f t="shared" si="21"/>
        <v>TP</v>
      </c>
      <c r="B128" s="300">
        <f t="shared" si="22"/>
        <v>94</v>
      </c>
      <c r="C128" s="192" t="s">
        <v>693</v>
      </c>
      <c r="D128" s="299" t="s">
        <v>1490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7"/>
    </row>
    <row r="129" spans="1:13" ht="19.5" customHeight="1">
      <c r="A129" s="287" t="str">
        <f t="shared" si="21"/>
        <v>TP</v>
      </c>
      <c r="B129" s="300">
        <f t="shared" si="22"/>
        <v>95</v>
      </c>
      <c r="C129" s="192" t="s">
        <v>515</v>
      </c>
      <c r="D129" s="299" t="s">
        <v>1490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7"/>
    </row>
    <row r="130" spans="1:13" ht="19.5" customHeight="1">
      <c r="A130" s="287" t="str">
        <f t="shared" si="21"/>
        <v>TP</v>
      </c>
      <c r="B130" s="300">
        <f t="shared" si="22"/>
        <v>96</v>
      </c>
      <c r="C130" s="189" t="s">
        <v>441</v>
      </c>
      <c r="D130" s="299" t="s">
        <v>1490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7"/>
    </row>
    <row r="131" spans="1:13" ht="19.5" customHeight="1">
      <c r="A131" s="287" t="str">
        <f t="shared" ref="A131:A162" si="25">IF(B131&lt;&gt;"","TP","")</f>
        <v>TP</v>
      </c>
      <c r="B131" s="300">
        <f t="shared" ref="B131:B162" si="26">IF(C131&lt;&gt;"",B130+1,"")</f>
        <v>97</v>
      </c>
      <c r="C131" s="192" t="s">
        <v>1060</v>
      </c>
      <c r="D131" s="299" t="s">
        <v>1490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7"/>
    </row>
    <row r="132" spans="1:13" ht="19.5" customHeight="1">
      <c r="A132" s="287" t="str">
        <f t="shared" si="25"/>
        <v>TP</v>
      </c>
      <c r="B132" s="300">
        <f t="shared" si="26"/>
        <v>98</v>
      </c>
      <c r="C132" s="40" t="s">
        <v>1346</v>
      </c>
      <c r="D132" s="299" t="s">
        <v>1490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7"/>
    </row>
    <row r="133" spans="1:13" ht="19.5" customHeight="1">
      <c r="A133" s="287" t="str">
        <f t="shared" si="25"/>
        <v>TP</v>
      </c>
      <c r="B133" s="300">
        <f t="shared" si="26"/>
        <v>99</v>
      </c>
      <c r="C133" s="40" t="s">
        <v>1360</v>
      </c>
      <c r="D133" s="299" t="s">
        <v>1490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7"/>
    </row>
    <row r="134" spans="1:13" ht="19.5" customHeight="1">
      <c r="A134" s="287" t="str">
        <f t="shared" si="25"/>
        <v>TP</v>
      </c>
      <c r="B134" s="300">
        <f t="shared" si="26"/>
        <v>100</v>
      </c>
      <c r="C134" s="192" t="s">
        <v>511</v>
      </c>
      <c r="D134" s="299" t="s">
        <v>1490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7"/>
    </row>
    <row r="135" spans="1:13" ht="19.5" customHeight="1">
      <c r="A135" s="287" t="str">
        <f t="shared" si="25"/>
        <v>TP</v>
      </c>
      <c r="B135" s="300">
        <f t="shared" si="26"/>
        <v>101</v>
      </c>
      <c r="C135" s="40" t="s">
        <v>1288</v>
      </c>
      <c r="D135" s="299" t="s">
        <v>1490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7"/>
    </row>
    <row r="136" spans="1:13" ht="19.5" customHeight="1">
      <c r="A136" s="287" t="str">
        <f t="shared" si="25"/>
        <v>TP</v>
      </c>
      <c r="B136" s="300">
        <f t="shared" si="26"/>
        <v>102</v>
      </c>
      <c r="C136" s="291" t="s">
        <v>996</v>
      </c>
      <c r="D136" s="299" t="s">
        <v>1490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7"/>
    </row>
    <row r="137" spans="1:13" ht="19.5" customHeight="1">
      <c r="A137" s="287" t="str">
        <f t="shared" si="25"/>
        <v>TP</v>
      </c>
      <c r="B137" s="300">
        <f t="shared" si="26"/>
        <v>103</v>
      </c>
      <c r="C137" s="192" t="s">
        <v>952</v>
      </c>
      <c r="D137" s="299" t="s">
        <v>1490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7"/>
    </row>
    <row r="138" spans="1:13" ht="19.5" customHeight="1">
      <c r="A138" s="287" t="str">
        <f t="shared" si="25"/>
        <v>TP</v>
      </c>
      <c r="B138" s="300">
        <f t="shared" si="26"/>
        <v>104</v>
      </c>
      <c r="C138" s="40" t="s">
        <v>1437</v>
      </c>
      <c r="D138" s="299" t="s">
        <v>1490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7"/>
    </row>
    <row r="139" spans="1:13" ht="19.5" customHeight="1">
      <c r="A139" s="287" t="str">
        <f t="shared" si="25"/>
        <v>TP</v>
      </c>
      <c r="B139" s="300">
        <f t="shared" si="26"/>
        <v>105</v>
      </c>
      <c r="C139" s="192" t="s">
        <v>927</v>
      </c>
      <c r="D139" s="299" t="s">
        <v>1490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7"/>
    </row>
    <row r="140" spans="1:13" ht="19.5" customHeight="1">
      <c r="A140" s="287" t="str">
        <f t="shared" si="25"/>
        <v>TP</v>
      </c>
      <c r="B140" s="300">
        <f t="shared" si="26"/>
        <v>106</v>
      </c>
      <c r="C140" s="40" t="s">
        <v>1516</v>
      </c>
      <c r="D140" s="299" t="s">
        <v>1490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7"/>
    </row>
    <row r="141" spans="1:13" ht="19.5" customHeight="1">
      <c r="A141" s="287" t="str">
        <f t="shared" si="25"/>
        <v>TP</v>
      </c>
      <c r="B141" s="300">
        <f t="shared" si="26"/>
        <v>107</v>
      </c>
      <c r="C141" s="40" t="s">
        <v>1294</v>
      </c>
      <c r="D141" s="299" t="s">
        <v>1490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7"/>
    </row>
    <row r="142" spans="1:13" ht="19.5" customHeight="1">
      <c r="A142" s="287" t="str">
        <f t="shared" si="25"/>
        <v>TP</v>
      </c>
      <c r="B142" s="300">
        <f t="shared" si="26"/>
        <v>108</v>
      </c>
      <c r="C142" s="40" t="s">
        <v>1358</v>
      </c>
      <c r="D142" s="299" t="s">
        <v>1490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7"/>
    </row>
    <row r="143" spans="1:13" ht="19.5" customHeight="1">
      <c r="A143" s="287" t="str">
        <f t="shared" si="25"/>
        <v>TP</v>
      </c>
      <c r="B143" s="300">
        <f t="shared" si="26"/>
        <v>109</v>
      </c>
      <c r="C143" s="192" t="s">
        <v>1072</v>
      </c>
      <c r="D143" s="299" t="s">
        <v>1490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7"/>
    </row>
    <row r="144" spans="1:13" ht="19.5" customHeight="1">
      <c r="A144" s="287" t="str">
        <f t="shared" si="25"/>
        <v>TP</v>
      </c>
      <c r="B144" s="300">
        <f t="shared" si="26"/>
        <v>110</v>
      </c>
      <c r="C144" s="192" t="s">
        <v>1089</v>
      </c>
      <c r="D144" s="299" t="s">
        <v>1490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7"/>
    </row>
    <row r="145" spans="1:13" ht="19.5" customHeight="1">
      <c r="A145" s="287" t="str">
        <f t="shared" si="25"/>
        <v>TP</v>
      </c>
      <c r="B145" s="300">
        <f t="shared" si="26"/>
        <v>111</v>
      </c>
      <c r="C145" s="192" t="s">
        <v>982</v>
      </c>
      <c r="D145" s="299" t="s">
        <v>1490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7"/>
    </row>
    <row r="146" spans="1:13" ht="19.5" customHeight="1">
      <c r="A146" s="287" t="str">
        <f t="shared" si="25"/>
        <v>TP</v>
      </c>
      <c r="B146" s="300">
        <f t="shared" si="26"/>
        <v>112</v>
      </c>
      <c r="C146" s="189" t="s">
        <v>468</v>
      </c>
      <c r="D146" s="299" t="s">
        <v>1490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7"/>
    </row>
    <row r="147" spans="1:13" ht="19.5" customHeight="1">
      <c r="A147" s="287" t="str">
        <f t="shared" si="25"/>
        <v>TP</v>
      </c>
      <c r="B147" s="300">
        <f t="shared" si="26"/>
        <v>113</v>
      </c>
      <c r="C147" s="192" t="s">
        <v>1021</v>
      </c>
      <c r="D147" s="299" t="s">
        <v>1490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7"/>
    </row>
    <row r="148" spans="1:13" ht="19.5" customHeight="1">
      <c r="A148" s="287" t="str">
        <f t="shared" si="25"/>
        <v>TP</v>
      </c>
      <c r="B148" s="300">
        <f t="shared" si="26"/>
        <v>114</v>
      </c>
      <c r="C148" s="192" t="s">
        <v>926</v>
      </c>
      <c r="D148" s="299" t="s">
        <v>1490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7"/>
    </row>
    <row r="149" spans="1:13" ht="19.5" customHeight="1">
      <c r="A149" s="287" t="str">
        <f t="shared" si="25"/>
        <v>TP</v>
      </c>
      <c r="B149" s="300">
        <f t="shared" si="26"/>
        <v>115</v>
      </c>
      <c r="C149" s="192" t="s">
        <v>676</v>
      </c>
      <c r="D149" s="299" t="s">
        <v>1490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7"/>
    </row>
    <row r="150" spans="1:13" ht="19.5" customHeight="1">
      <c r="A150" s="287" t="str">
        <f t="shared" si="25"/>
        <v>TP</v>
      </c>
      <c r="B150" s="300">
        <f t="shared" si="26"/>
        <v>116</v>
      </c>
      <c r="C150" s="189" t="s">
        <v>1005</v>
      </c>
      <c r="D150" s="299" t="s">
        <v>1490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7"/>
    </row>
    <row r="151" spans="1:13" ht="19.5" customHeight="1">
      <c r="A151" s="287" t="str">
        <f t="shared" si="25"/>
        <v>TP</v>
      </c>
      <c r="B151" s="300">
        <f t="shared" si="26"/>
        <v>117</v>
      </c>
      <c r="C151" s="192" t="s">
        <v>542</v>
      </c>
      <c r="D151" s="299" t="s">
        <v>1490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7"/>
    </row>
    <row r="152" spans="1:13" ht="19.5" customHeight="1">
      <c r="A152" s="287" t="str">
        <f t="shared" si="25"/>
        <v>TP</v>
      </c>
      <c r="B152" s="300">
        <f t="shared" si="26"/>
        <v>118</v>
      </c>
      <c r="C152" s="40" t="s">
        <v>1373</v>
      </c>
      <c r="D152" s="299" t="s">
        <v>1490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7"/>
    </row>
    <row r="153" spans="1:13" ht="19.5" customHeight="1">
      <c r="A153" s="287" t="str">
        <f t="shared" si="25"/>
        <v>TP</v>
      </c>
      <c r="B153" s="300">
        <f t="shared" si="26"/>
        <v>119</v>
      </c>
      <c r="C153" s="192" t="s">
        <v>939</v>
      </c>
      <c r="D153" s="299" t="s">
        <v>1490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7"/>
    </row>
    <row r="154" spans="1:13" ht="19.5" customHeight="1">
      <c r="A154" s="287" t="str">
        <f t="shared" si="25"/>
        <v>TP</v>
      </c>
      <c r="B154" s="300">
        <f t="shared" si="26"/>
        <v>120</v>
      </c>
      <c r="C154" s="189" t="s">
        <v>691</v>
      </c>
      <c r="D154" s="299" t="s">
        <v>1490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7"/>
    </row>
    <row r="155" spans="1:13" ht="19.5" customHeight="1">
      <c r="A155" s="287" t="str">
        <f t="shared" si="25"/>
        <v>TP</v>
      </c>
      <c r="B155" s="300">
        <f t="shared" si="26"/>
        <v>121</v>
      </c>
      <c r="C155" s="40" t="s">
        <v>1369</v>
      </c>
      <c r="D155" s="299" t="s">
        <v>1490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7"/>
    </row>
    <row r="156" spans="1:13" ht="19.5" customHeight="1">
      <c r="A156" s="287" t="str">
        <f t="shared" si="25"/>
        <v>TP</v>
      </c>
      <c r="B156" s="300">
        <f t="shared" si="26"/>
        <v>122</v>
      </c>
      <c r="C156" s="192" t="s">
        <v>690</v>
      </c>
      <c r="D156" s="299" t="s">
        <v>1490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7"/>
    </row>
    <row r="157" spans="1:13" ht="19.5" customHeight="1">
      <c r="A157" s="287" t="str">
        <f t="shared" si="25"/>
        <v>TP</v>
      </c>
      <c r="B157" s="300">
        <f t="shared" si="26"/>
        <v>123</v>
      </c>
      <c r="C157" s="40" t="s">
        <v>1335</v>
      </c>
      <c r="D157" s="299" t="s">
        <v>1490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7"/>
    </row>
    <row r="158" spans="1:13" ht="19.5" customHeight="1">
      <c r="A158" s="287" t="str">
        <f t="shared" si="25"/>
        <v>TP</v>
      </c>
      <c r="B158" s="300">
        <f t="shared" si="26"/>
        <v>124</v>
      </c>
      <c r="C158" s="192" t="s">
        <v>1071</v>
      </c>
      <c r="D158" s="299" t="s">
        <v>1490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7"/>
    </row>
    <row r="159" spans="1:13" ht="19.5" customHeight="1">
      <c r="A159" s="287" t="str">
        <f t="shared" si="25"/>
        <v>TP</v>
      </c>
      <c r="B159" s="300">
        <f t="shared" si="26"/>
        <v>125</v>
      </c>
      <c r="C159" s="192" t="s">
        <v>1019</v>
      </c>
      <c r="D159" s="299" t="s">
        <v>1490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7"/>
    </row>
    <row r="160" spans="1:13" ht="19.5" customHeight="1">
      <c r="A160" s="287" t="str">
        <f t="shared" si="25"/>
        <v>TP</v>
      </c>
      <c r="B160" s="300">
        <f t="shared" si="26"/>
        <v>126</v>
      </c>
      <c r="C160" s="192" t="s">
        <v>997</v>
      </c>
      <c r="D160" s="299" t="s">
        <v>1490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7"/>
    </row>
    <row r="161" spans="1:13" ht="19.5" customHeight="1">
      <c r="A161" s="287" t="str">
        <f t="shared" si="25"/>
        <v>TP</v>
      </c>
      <c r="B161" s="300">
        <f t="shared" si="26"/>
        <v>127</v>
      </c>
      <c r="C161" s="189" t="s">
        <v>1046</v>
      </c>
      <c r="D161" s="299" t="s">
        <v>1490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7"/>
    </row>
    <row r="162" spans="1:13" ht="19.5" customHeight="1">
      <c r="A162" s="287" t="str">
        <f t="shared" si="25"/>
        <v>TP</v>
      </c>
      <c r="B162" s="300">
        <f t="shared" si="26"/>
        <v>128</v>
      </c>
      <c r="C162" s="189" t="s">
        <v>1031</v>
      </c>
      <c r="D162" s="299" t="s">
        <v>1490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7"/>
    </row>
    <row r="163" spans="1:13" ht="19.5" customHeight="1">
      <c r="A163" s="287" t="str">
        <f t="shared" ref="A163:A173" si="27">IF(B163&lt;&gt;"","TP","")</f>
        <v>TP</v>
      </c>
      <c r="B163" s="300">
        <f t="shared" ref="B163:B173" si="28">IF(C163&lt;&gt;"",B162+1,"")</f>
        <v>129</v>
      </c>
      <c r="C163" s="189" t="s">
        <v>987</v>
      </c>
      <c r="D163" s="299" t="s">
        <v>1490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7"/>
    </row>
    <row r="164" spans="1:13" ht="19.5" customHeight="1">
      <c r="A164" s="287" t="str">
        <f t="shared" si="27"/>
        <v>TP</v>
      </c>
      <c r="B164" s="300">
        <f t="shared" si="28"/>
        <v>130</v>
      </c>
      <c r="C164" s="40" t="s">
        <v>1344</v>
      </c>
      <c r="D164" s="299" t="s">
        <v>1490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7"/>
    </row>
    <row r="165" spans="1:13" ht="19.5" customHeight="1">
      <c r="A165" s="287" t="str">
        <f t="shared" si="27"/>
        <v>TP</v>
      </c>
      <c r="B165" s="300">
        <f t="shared" si="28"/>
        <v>131</v>
      </c>
      <c r="C165" s="192" t="s">
        <v>980</v>
      </c>
      <c r="D165" s="299" t="s">
        <v>1490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7"/>
    </row>
    <row r="166" spans="1:13" ht="19.5" customHeight="1">
      <c r="A166" s="287" t="str">
        <f t="shared" si="27"/>
        <v>TP</v>
      </c>
      <c r="B166" s="300">
        <f t="shared" si="28"/>
        <v>132</v>
      </c>
      <c r="C166" s="192" t="s">
        <v>951</v>
      </c>
      <c r="D166" s="299" t="s">
        <v>1490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7"/>
    </row>
    <row r="167" spans="1:13" ht="19.5" customHeight="1">
      <c r="A167" s="287" t="str">
        <f t="shared" si="27"/>
        <v>TP</v>
      </c>
      <c r="B167" s="300">
        <f t="shared" si="28"/>
        <v>133</v>
      </c>
      <c r="C167" s="192" t="s">
        <v>941</v>
      </c>
      <c r="D167" s="299" t="s">
        <v>1490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7"/>
    </row>
    <row r="168" spans="1:13" ht="19.5" customHeight="1">
      <c r="A168" s="287" t="str">
        <f t="shared" si="27"/>
        <v>TP</v>
      </c>
      <c r="B168" s="300">
        <f t="shared" si="28"/>
        <v>134</v>
      </c>
      <c r="C168" s="189" t="s">
        <v>1004</v>
      </c>
      <c r="D168" s="299" t="s">
        <v>1490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7"/>
    </row>
    <row r="169" spans="1:13" ht="19.5" customHeight="1">
      <c r="A169" s="287" t="str">
        <f t="shared" si="27"/>
        <v>TP</v>
      </c>
      <c r="B169" s="300">
        <f t="shared" si="28"/>
        <v>135</v>
      </c>
      <c r="C169" s="192" t="s">
        <v>627</v>
      </c>
      <c r="D169" s="299" t="s">
        <v>1490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7"/>
    </row>
    <row r="170" spans="1:13" ht="19.5" customHeight="1">
      <c r="A170" s="287" t="str">
        <f t="shared" si="27"/>
        <v>TP</v>
      </c>
      <c r="B170" s="300">
        <f t="shared" si="28"/>
        <v>136</v>
      </c>
      <c r="C170" s="192" t="s">
        <v>924</v>
      </c>
      <c r="D170" s="299" t="s">
        <v>1490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7"/>
    </row>
    <row r="171" spans="1:13" ht="19.5" customHeight="1">
      <c r="A171" s="287" t="str">
        <f t="shared" si="27"/>
        <v>TP</v>
      </c>
      <c r="B171" s="300">
        <f t="shared" si="28"/>
        <v>137</v>
      </c>
      <c r="C171" s="189" t="s">
        <v>998</v>
      </c>
      <c r="D171" s="299" t="s">
        <v>1490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7"/>
    </row>
    <row r="172" spans="1:13" ht="19.5" customHeight="1">
      <c r="A172" s="287" t="str">
        <f t="shared" si="27"/>
        <v>TP</v>
      </c>
      <c r="B172" s="300">
        <f t="shared" si="28"/>
        <v>138</v>
      </c>
      <c r="C172" s="192" t="s">
        <v>426</v>
      </c>
      <c r="D172" s="299" t="s">
        <v>1490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7"/>
    </row>
    <row r="173" spans="1:13" ht="19.5" customHeight="1">
      <c r="A173" s="287" t="str">
        <f t="shared" si="27"/>
        <v>TP</v>
      </c>
      <c r="B173" s="300">
        <f t="shared" si="28"/>
        <v>139</v>
      </c>
      <c r="C173" s="40" t="s">
        <v>1348</v>
      </c>
      <c r="D173" s="299" t="s">
        <v>1490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7"/>
    </row>
    <row r="174" spans="1:13" ht="19.5" customHeight="1">
      <c r="A174" s="287" t="str">
        <f t="shared" ref="A174:A181" si="31">IF(B174&lt;&gt;"","TP","")</f>
        <v>TP</v>
      </c>
      <c r="B174" s="300">
        <f t="shared" ref="B174:B181" si="32">IF(C174&lt;&gt;"",B173+1,"")</f>
        <v>140</v>
      </c>
      <c r="C174" s="40" t="s">
        <v>1356</v>
      </c>
      <c r="D174" s="299" t="s">
        <v>1490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7"/>
    </row>
    <row r="175" spans="1:13" ht="19.5" customHeight="1">
      <c r="A175" s="287" t="str">
        <f t="shared" si="31"/>
        <v>TP</v>
      </c>
      <c r="B175" s="300">
        <f t="shared" si="32"/>
        <v>141</v>
      </c>
      <c r="C175" s="192" t="s">
        <v>967</v>
      </c>
      <c r="D175" s="299" t="s">
        <v>1490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7"/>
    </row>
    <row r="176" spans="1:13" ht="19.5" customHeight="1">
      <c r="A176" s="287" t="str">
        <f t="shared" si="31"/>
        <v>TP</v>
      </c>
      <c r="B176" s="300">
        <f t="shared" si="32"/>
        <v>142</v>
      </c>
      <c r="C176" s="192" t="s">
        <v>466</v>
      </c>
      <c r="D176" s="299" t="s">
        <v>1490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7"/>
    </row>
    <row r="177" spans="1:13" ht="19.5" customHeight="1">
      <c r="A177" s="287" t="str">
        <f t="shared" si="31"/>
        <v>TP</v>
      </c>
      <c r="B177" s="300">
        <f t="shared" si="32"/>
        <v>143</v>
      </c>
      <c r="C177" s="192" t="s">
        <v>894</v>
      </c>
      <c r="D177" s="299" t="s">
        <v>1490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7"/>
    </row>
    <row r="178" spans="1:13" ht="19.5" customHeight="1">
      <c r="A178" s="287" t="str">
        <f t="shared" si="31"/>
        <v>TP</v>
      </c>
      <c r="B178" s="300">
        <f t="shared" si="32"/>
        <v>144</v>
      </c>
      <c r="C178" s="40" t="s">
        <v>1372</v>
      </c>
      <c r="D178" s="299" t="s">
        <v>1490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7"/>
    </row>
    <row r="179" spans="1:13" ht="19.5" customHeight="1">
      <c r="A179" s="287" t="str">
        <f t="shared" si="31"/>
        <v>TP</v>
      </c>
      <c r="B179" s="300">
        <f t="shared" si="32"/>
        <v>145</v>
      </c>
      <c r="C179" s="40" t="s">
        <v>1289</v>
      </c>
      <c r="D179" s="299" t="s">
        <v>1490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7"/>
    </row>
    <row r="180" spans="1:13" ht="19.5" customHeight="1">
      <c r="A180" s="287" t="str">
        <f t="shared" si="31"/>
        <v>TP</v>
      </c>
      <c r="B180" s="300">
        <f t="shared" si="32"/>
        <v>146</v>
      </c>
      <c r="C180" s="192" t="s">
        <v>1086</v>
      </c>
      <c r="D180" s="299" t="s">
        <v>1490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7"/>
    </row>
    <row r="181" spans="1:13" ht="19.5" customHeight="1">
      <c r="A181" s="287" t="str">
        <f t="shared" si="31"/>
        <v>TP</v>
      </c>
      <c r="B181" s="300">
        <f t="shared" si="32"/>
        <v>147</v>
      </c>
      <c r="C181" s="192" t="s">
        <v>945</v>
      </c>
      <c r="D181" s="299" t="s">
        <v>1490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7"/>
    </row>
    <row r="182" spans="1:13" ht="19.5" customHeight="1">
      <c r="A182" s="287" t="str">
        <f t="shared" ref="A182:A245" si="33">IF(B182&lt;&gt;"","TP","")</f>
        <v>TP</v>
      </c>
      <c r="B182" s="300">
        <f t="shared" ref="B182:B245" si="34">IF(C182&lt;&gt;"",B181+1,"")</f>
        <v>148</v>
      </c>
      <c r="C182" s="192" t="s">
        <v>503</v>
      </c>
      <c r="D182" s="299" t="s">
        <v>1490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7"/>
    </row>
    <row r="183" spans="1:13" ht="19.5" customHeight="1">
      <c r="A183" s="287" t="str">
        <f t="shared" si="33"/>
        <v>TP</v>
      </c>
      <c r="B183" s="300">
        <f t="shared" si="34"/>
        <v>149</v>
      </c>
      <c r="C183" s="192" t="s">
        <v>437</v>
      </c>
      <c r="D183" s="299" t="s">
        <v>1490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7"/>
    </row>
    <row r="184" spans="1:13" ht="19.5" customHeight="1">
      <c r="A184" s="287" t="str">
        <f t="shared" si="33"/>
        <v>TP</v>
      </c>
      <c r="B184" s="300">
        <f t="shared" si="34"/>
        <v>150</v>
      </c>
      <c r="C184" s="40" t="s">
        <v>1103</v>
      </c>
      <c r="D184" s="299" t="s">
        <v>1490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7"/>
    </row>
    <row r="185" spans="1:13" ht="19.5" customHeight="1">
      <c r="A185" s="287" t="str">
        <f t="shared" si="33"/>
        <v>TP</v>
      </c>
      <c r="B185" s="300">
        <f t="shared" si="34"/>
        <v>151</v>
      </c>
      <c r="C185" s="192" t="s">
        <v>1026</v>
      </c>
      <c r="D185" s="299" t="s">
        <v>1490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7"/>
    </row>
    <row r="186" spans="1:13" ht="19.5" customHeight="1">
      <c r="A186" s="287" t="str">
        <f t="shared" si="33"/>
        <v>TP</v>
      </c>
      <c r="B186" s="300">
        <f t="shared" si="34"/>
        <v>152</v>
      </c>
      <c r="C186" s="40" t="s">
        <v>1517</v>
      </c>
      <c r="D186" s="299" t="s">
        <v>1490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7"/>
    </row>
    <row r="187" spans="1:13" ht="19.5" customHeight="1">
      <c r="A187" s="287" t="str">
        <f t="shared" si="33"/>
        <v>TP</v>
      </c>
      <c r="B187" s="300">
        <f t="shared" si="34"/>
        <v>153</v>
      </c>
      <c r="C187" s="192" t="s">
        <v>966</v>
      </c>
      <c r="D187" s="299" t="s">
        <v>1490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7"/>
    </row>
    <row r="188" spans="1:13" ht="19.5" customHeight="1">
      <c r="A188" s="287" t="str">
        <f t="shared" si="33"/>
        <v>TP</v>
      </c>
      <c r="B188" s="300">
        <f t="shared" si="34"/>
        <v>154</v>
      </c>
      <c r="C188" s="40" t="s">
        <v>1357</v>
      </c>
      <c r="D188" s="299" t="s">
        <v>1490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7"/>
    </row>
    <row r="189" spans="1:13" ht="19.5" customHeight="1">
      <c r="A189" s="287" t="str">
        <f t="shared" si="33"/>
        <v>TP</v>
      </c>
      <c r="B189" s="300">
        <f t="shared" si="34"/>
        <v>155</v>
      </c>
      <c r="C189" s="192" t="s">
        <v>933</v>
      </c>
      <c r="D189" s="299" t="s">
        <v>1490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7"/>
    </row>
    <row r="190" spans="1:13" ht="19.5" customHeight="1">
      <c r="A190" s="287" t="str">
        <f t="shared" si="33"/>
        <v>TP</v>
      </c>
      <c r="B190" s="300">
        <f t="shared" si="34"/>
        <v>156</v>
      </c>
      <c r="C190" s="192" t="s">
        <v>486</v>
      </c>
      <c r="D190" s="299" t="s">
        <v>1490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7"/>
    </row>
    <row r="191" spans="1:13" ht="19.5" customHeight="1">
      <c r="A191" s="287" t="str">
        <f t="shared" si="33"/>
        <v>TP</v>
      </c>
      <c r="B191" s="300">
        <f t="shared" si="34"/>
        <v>157</v>
      </c>
      <c r="C191" s="40" t="s">
        <v>1447</v>
      </c>
      <c r="D191" s="299" t="s">
        <v>1490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7"/>
    </row>
    <row r="192" spans="1:13" ht="19.5" customHeight="1">
      <c r="A192" s="287" t="str">
        <f t="shared" si="33"/>
        <v>TP</v>
      </c>
      <c r="B192" s="300">
        <f t="shared" si="34"/>
        <v>158</v>
      </c>
      <c r="C192" s="192" t="s">
        <v>1077</v>
      </c>
      <c r="D192" s="299" t="s">
        <v>1490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7"/>
    </row>
    <row r="193" spans="1:13" ht="19.5" customHeight="1">
      <c r="A193" s="287" t="str">
        <f t="shared" si="33"/>
        <v>TP</v>
      </c>
      <c r="B193" s="300">
        <f t="shared" si="34"/>
        <v>159</v>
      </c>
      <c r="C193" s="192" t="s">
        <v>961</v>
      </c>
      <c r="D193" s="299" t="s">
        <v>1490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7"/>
    </row>
    <row r="194" spans="1:13" ht="19.5" customHeight="1">
      <c r="A194" s="287" t="str">
        <f t="shared" si="33"/>
        <v>TP</v>
      </c>
      <c r="B194" s="300">
        <f t="shared" si="34"/>
        <v>160</v>
      </c>
      <c r="C194" s="189" t="s">
        <v>989</v>
      </c>
      <c r="D194" s="299" t="s">
        <v>1490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7"/>
    </row>
    <row r="195" spans="1:13" ht="19.5" customHeight="1">
      <c r="A195" s="287" t="str">
        <f t="shared" si="33"/>
        <v>TP</v>
      </c>
      <c r="B195" s="300">
        <f t="shared" si="34"/>
        <v>161</v>
      </c>
      <c r="C195" s="189" t="s">
        <v>985</v>
      </c>
      <c r="D195" s="299" t="s">
        <v>1490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7"/>
    </row>
    <row r="196" spans="1:13" ht="19.5" customHeight="1">
      <c r="A196" s="287" t="str">
        <f t="shared" si="33"/>
        <v>TP</v>
      </c>
      <c r="B196" s="300">
        <f t="shared" si="34"/>
        <v>162</v>
      </c>
      <c r="C196" s="192" t="s">
        <v>1093</v>
      </c>
      <c r="D196" s="299" t="s">
        <v>1490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7"/>
    </row>
    <row r="197" spans="1:13" ht="19.5" customHeight="1">
      <c r="A197" s="287" t="str">
        <f t="shared" si="33"/>
        <v>TP</v>
      </c>
      <c r="B197" s="300">
        <f t="shared" si="34"/>
        <v>163</v>
      </c>
      <c r="C197" s="40" t="s">
        <v>902</v>
      </c>
      <c r="D197" s="299" t="s">
        <v>1490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7"/>
    </row>
    <row r="198" spans="1:13" ht="19.5" customHeight="1">
      <c r="A198" s="287" t="str">
        <f t="shared" si="33"/>
        <v>TP</v>
      </c>
      <c r="B198" s="300">
        <f t="shared" si="34"/>
        <v>164</v>
      </c>
      <c r="C198" s="40" t="s">
        <v>1423</v>
      </c>
      <c r="D198" s="299" t="s">
        <v>1490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7"/>
    </row>
    <row r="199" spans="1:13" ht="19.5" customHeight="1">
      <c r="A199" s="287" t="str">
        <f t="shared" si="33"/>
        <v>TP</v>
      </c>
      <c r="B199" s="300">
        <f t="shared" si="34"/>
        <v>165</v>
      </c>
      <c r="C199" s="192" t="s">
        <v>657</v>
      </c>
      <c r="D199" s="299" t="s">
        <v>1490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7"/>
    </row>
    <row r="200" spans="1:13" ht="19.5" customHeight="1">
      <c r="A200" s="287" t="str">
        <f t="shared" si="33"/>
        <v>TP</v>
      </c>
      <c r="B200" s="300">
        <f t="shared" si="34"/>
        <v>166</v>
      </c>
      <c r="C200" s="40" t="s">
        <v>1386</v>
      </c>
      <c r="D200" s="299" t="s">
        <v>1490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7"/>
    </row>
    <row r="201" spans="1:13" ht="19.5" customHeight="1">
      <c r="A201" s="287" t="str">
        <f t="shared" si="33"/>
        <v>TP</v>
      </c>
      <c r="B201" s="300">
        <f t="shared" si="34"/>
        <v>167</v>
      </c>
      <c r="C201" s="189" t="s">
        <v>988</v>
      </c>
      <c r="D201" s="299" t="s">
        <v>1490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7"/>
    </row>
    <row r="202" spans="1:13" ht="19.5" customHeight="1">
      <c r="A202" s="287" t="str">
        <f t="shared" si="33"/>
        <v>TP</v>
      </c>
      <c r="B202" s="300">
        <f t="shared" si="34"/>
        <v>168</v>
      </c>
      <c r="C202" s="192" t="s">
        <v>1073</v>
      </c>
      <c r="D202" s="299" t="s">
        <v>1490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7"/>
    </row>
    <row r="203" spans="1:13" ht="19.5" customHeight="1">
      <c r="A203" s="287" t="str">
        <f t="shared" si="33"/>
        <v>TP</v>
      </c>
      <c r="B203" s="300">
        <f t="shared" si="34"/>
        <v>169</v>
      </c>
      <c r="C203" s="189" t="s">
        <v>1055</v>
      </c>
      <c r="D203" s="299" t="s">
        <v>1490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7"/>
    </row>
    <row r="204" spans="1:13" ht="19.5" customHeight="1">
      <c r="A204" s="287" t="str">
        <f t="shared" si="33"/>
        <v>TP</v>
      </c>
      <c r="B204" s="300">
        <f t="shared" si="34"/>
        <v>170</v>
      </c>
      <c r="C204" s="192" t="s">
        <v>949</v>
      </c>
      <c r="D204" s="299" t="s">
        <v>1490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7"/>
    </row>
    <row r="205" spans="1:13" ht="19.5" customHeight="1">
      <c r="A205" s="287" t="str">
        <f t="shared" si="33"/>
        <v>TP</v>
      </c>
      <c r="B205" s="300">
        <f t="shared" si="34"/>
        <v>171</v>
      </c>
      <c r="C205" s="189" t="s">
        <v>1010</v>
      </c>
      <c r="D205" s="299" t="s">
        <v>1490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7"/>
    </row>
    <row r="206" spans="1:13" ht="19.5" customHeight="1">
      <c r="A206" s="287" t="str">
        <f t="shared" si="33"/>
        <v>TP</v>
      </c>
      <c r="B206" s="300">
        <f t="shared" si="34"/>
        <v>172</v>
      </c>
      <c r="C206" s="40" t="s">
        <v>1397</v>
      </c>
      <c r="D206" s="299" t="s">
        <v>1490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7"/>
    </row>
    <row r="207" spans="1:13" ht="19.5" customHeight="1">
      <c r="A207" s="287" t="str">
        <f t="shared" si="33"/>
        <v>TP</v>
      </c>
      <c r="B207" s="300">
        <f t="shared" si="34"/>
        <v>173</v>
      </c>
      <c r="C207" s="192" t="s">
        <v>1094</v>
      </c>
      <c r="D207" s="299" t="s">
        <v>1490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7"/>
    </row>
    <row r="208" spans="1:13" ht="19.5" customHeight="1">
      <c r="A208" s="287" t="str">
        <f t="shared" si="33"/>
        <v>TP</v>
      </c>
      <c r="B208" s="300">
        <f t="shared" si="34"/>
        <v>174</v>
      </c>
      <c r="C208" s="40" t="s">
        <v>1398</v>
      </c>
      <c r="D208" s="299" t="s">
        <v>1490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7"/>
    </row>
    <row r="209" spans="1:13" ht="19.5" customHeight="1">
      <c r="A209" s="287" t="str">
        <f t="shared" si="33"/>
        <v>TP</v>
      </c>
      <c r="B209" s="300">
        <f t="shared" si="34"/>
        <v>175</v>
      </c>
      <c r="C209" s="192" t="s">
        <v>1087</v>
      </c>
      <c r="D209" s="299" t="s">
        <v>1490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7"/>
    </row>
    <row r="210" spans="1:13" ht="19.5" customHeight="1">
      <c r="A210" s="287" t="str">
        <f t="shared" si="33"/>
        <v>TP</v>
      </c>
      <c r="B210" s="300">
        <f t="shared" si="34"/>
        <v>176</v>
      </c>
      <c r="C210" s="40" t="s">
        <v>1411</v>
      </c>
      <c r="D210" s="299" t="s">
        <v>1490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7"/>
    </row>
    <row r="211" spans="1:13" ht="19.5" customHeight="1">
      <c r="A211" s="287" t="str">
        <f t="shared" si="33"/>
        <v>TP</v>
      </c>
      <c r="B211" s="300">
        <f t="shared" si="34"/>
        <v>177</v>
      </c>
      <c r="C211" s="192" t="s">
        <v>1075</v>
      </c>
      <c r="D211" s="299" t="s">
        <v>1490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7"/>
    </row>
    <row r="212" spans="1:13" ht="19.5" customHeight="1">
      <c r="A212" s="287" t="str">
        <f t="shared" si="33"/>
        <v>TP</v>
      </c>
      <c r="B212" s="300">
        <f t="shared" si="34"/>
        <v>178</v>
      </c>
      <c r="C212" s="189" t="s">
        <v>1030</v>
      </c>
      <c r="D212" s="299" t="s">
        <v>1490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7"/>
    </row>
    <row r="213" spans="1:13" ht="19.5" customHeight="1">
      <c r="A213" s="287" t="str">
        <f t="shared" si="33"/>
        <v>TP</v>
      </c>
      <c r="B213" s="300">
        <f t="shared" si="34"/>
        <v>179</v>
      </c>
      <c r="C213" s="192" t="s">
        <v>1029</v>
      </c>
      <c r="D213" s="299" t="s">
        <v>1490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7"/>
    </row>
    <row r="214" spans="1:13" ht="18" customHeight="1">
      <c r="A214" s="287" t="str">
        <f t="shared" si="33"/>
        <v>TP</v>
      </c>
      <c r="B214" s="300">
        <f t="shared" si="34"/>
        <v>180</v>
      </c>
      <c r="C214" s="189" t="s">
        <v>903</v>
      </c>
      <c r="D214" s="299" t="s">
        <v>1490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7"/>
    </row>
    <row r="215" spans="1:13" ht="18" customHeight="1">
      <c r="A215" s="287" t="str">
        <f t="shared" si="33"/>
        <v>TP</v>
      </c>
      <c r="B215" s="300">
        <f t="shared" si="34"/>
        <v>181</v>
      </c>
      <c r="C215" s="40" t="s">
        <v>1406</v>
      </c>
      <c r="D215" s="299" t="s">
        <v>1490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7"/>
    </row>
    <row r="216" spans="1:13" ht="18.75" customHeight="1">
      <c r="A216" s="287" t="str">
        <f t="shared" si="33"/>
        <v>TP</v>
      </c>
      <c r="B216" s="300">
        <f t="shared" si="34"/>
        <v>182</v>
      </c>
      <c r="C216" s="40" t="s">
        <v>1405</v>
      </c>
      <c r="D216" s="299" t="s">
        <v>1490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7"/>
    </row>
    <row r="217" spans="1:13" ht="18.75" customHeight="1">
      <c r="A217" s="287" t="str">
        <f t="shared" si="33"/>
        <v>TP</v>
      </c>
      <c r="B217" s="300">
        <f t="shared" si="34"/>
        <v>183</v>
      </c>
      <c r="C217" s="40" t="s">
        <v>1404</v>
      </c>
      <c r="D217" s="299" t="s">
        <v>1490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7"/>
    </row>
    <row r="218" spans="1:13" ht="18.75" customHeight="1">
      <c r="A218" s="287" t="str">
        <f t="shared" si="33"/>
        <v>TP</v>
      </c>
      <c r="B218" s="300">
        <f t="shared" si="34"/>
        <v>184</v>
      </c>
      <c r="C218" s="192" t="s">
        <v>507</v>
      </c>
      <c r="D218" s="299" t="s">
        <v>1490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7"/>
    </row>
    <row r="219" spans="1:13" ht="18.75" customHeight="1">
      <c r="A219" s="287" t="str">
        <f t="shared" si="33"/>
        <v>TP</v>
      </c>
      <c r="B219" s="300">
        <f t="shared" si="34"/>
        <v>185</v>
      </c>
      <c r="C219" s="40" t="s">
        <v>1366</v>
      </c>
      <c r="D219" s="299" t="s">
        <v>1490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7"/>
    </row>
    <row r="220" spans="1:13" ht="18.75" customHeight="1">
      <c r="A220" s="287" t="str">
        <f t="shared" si="33"/>
        <v>TP</v>
      </c>
      <c r="B220" s="300">
        <f t="shared" si="34"/>
        <v>186</v>
      </c>
      <c r="C220" s="192" t="s">
        <v>688</v>
      </c>
      <c r="D220" s="299" t="s">
        <v>1490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7"/>
    </row>
    <row r="221" spans="1:13" ht="18.75" customHeight="1">
      <c r="A221" s="287" t="str">
        <f t="shared" si="33"/>
        <v>TP</v>
      </c>
      <c r="B221" s="300">
        <f t="shared" si="34"/>
        <v>187</v>
      </c>
      <c r="C221" s="192" t="s">
        <v>970</v>
      </c>
      <c r="D221" s="299" t="s">
        <v>1490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7"/>
    </row>
    <row r="222" spans="1:13" ht="18.75" customHeight="1">
      <c r="A222" s="287" t="str">
        <f t="shared" si="33"/>
        <v>TP</v>
      </c>
      <c r="B222" s="300">
        <f t="shared" si="34"/>
        <v>188</v>
      </c>
      <c r="C222" s="291" t="s">
        <v>1081</v>
      </c>
      <c r="D222" s="299" t="s">
        <v>1490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7"/>
    </row>
    <row r="223" spans="1:13" ht="18.75" customHeight="1">
      <c r="A223" s="287" t="str">
        <f t="shared" si="33"/>
        <v>TP</v>
      </c>
      <c r="B223" s="300">
        <f t="shared" si="34"/>
        <v>189</v>
      </c>
      <c r="C223" s="40" t="s">
        <v>1102</v>
      </c>
      <c r="D223" s="299" t="s">
        <v>1490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7"/>
    </row>
    <row r="224" spans="1:13" ht="18.75" customHeight="1">
      <c r="A224" s="287" t="str">
        <f t="shared" si="33"/>
        <v>TP</v>
      </c>
      <c r="B224" s="300">
        <f t="shared" si="34"/>
        <v>190</v>
      </c>
      <c r="C224" s="192" t="s">
        <v>1079</v>
      </c>
      <c r="D224" s="299" t="s">
        <v>1490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7"/>
    </row>
    <row r="225" spans="1:13" ht="18.75" customHeight="1">
      <c r="A225" s="287" t="str">
        <f t="shared" si="33"/>
        <v>TP</v>
      </c>
      <c r="B225" s="300">
        <f t="shared" si="34"/>
        <v>191</v>
      </c>
      <c r="C225" s="189" t="s">
        <v>1045</v>
      </c>
      <c r="D225" s="299" t="s">
        <v>1490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7"/>
    </row>
    <row r="226" spans="1:13" ht="18.75" customHeight="1">
      <c r="A226" s="287" t="str">
        <f t="shared" si="33"/>
        <v>TP</v>
      </c>
      <c r="B226" s="300">
        <f t="shared" si="34"/>
        <v>192</v>
      </c>
      <c r="C226" s="192" t="s">
        <v>1018</v>
      </c>
      <c r="D226" s="299" t="s">
        <v>1490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7"/>
    </row>
    <row r="227" spans="1:13" ht="18.75" customHeight="1">
      <c r="A227" s="287" t="str">
        <f t="shared" si="33"/>
        <v>TP</v>
      </c>
      <c r="B227" s="300">
        <f t="shared" si="34"/>
        <v>193</v>
      </c>
      <c r="C227" s="192" t="s">
        <v>984</v>
      </c>
      <c r="D227" s="299" t="s">
        <v>1490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7"/>
    </row>
    <row r="228" spans="1:13" ht="18.75" customHeight="1">
      <c r="A228" s="287" t="str">
        <f t="shared" si="33"/>
        <v>TP</v>
      </c>
      <c r="B228" s="300">
        <f t="shared" si="34"/>
        <v>194</v>
      </c>
      <c r="C228" s="40" t="s">
        <v>1432</v>
      </c>
      <c r="D228" s="299" t="s">
        <v>1490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7"/>
    </row>
    <row r="229" spans="1:13" ht="18.75" customHeight="1">
      <c r="A229" s="287" t="str">
        <f t="shared" si="33"/>
        <v>TP</v>
      </c>
      <c r="B229" s="300">
        <f t="shared" si="34"/>
        <v>195</v>
      </c>
      <c r="C229" s="189" t="s">
        <v>1047</v>
      </c>
      <c r="D229" s="299" t="s">
        <v>1490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7"/>
    </row>
    <row r="230" spans="1:13" ht="18.75" customHeight="1">
      <c r="A230" s="287" t="str">
        <f t="shared" si="33"/>
        <v>TP</v>
      </c>
      <c r="B230" s="300">
        <f t="shared" si="34"/>
        <v>196</v>
      </c>
      <c r="C230" s="40" t="s">
        <v>1424</v>
      </c>
      <c r="D230" s="299" t="s">
        <v>1490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7"/>
    </row>
    <row r="231" spans="1:13" ht="18.75" customHeight="1">
      <c r="A231" s="287" t="str">
        <f t="shared" si="33"/>
        <v>TP</v>
      </c>
      <c r="B231" s="300">
        <f t="shared" si="34"/>
        <v>197</v>
      </c>
      <c r="C231" s="189" t="s">
        <v>1068</v>
      </c>
      <c r="D231" s="299" t="s">
        <v>1490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7"/>
    </row>
    <row r="232" spans="1:13" ht="18.75" customHeight="1">
      <c r="A232" s="287" t="str">
        <f t="shared" si="33"/>
        <v>TP</v>
      </c>
      <c r="B232" s="300">
        <f t="shared" si="34"/>
        <v>198</v>
      </c>
      <c r="C232" s="192" t="s">
        <v>1028</v>
      </c>
      <c r="D232" s="299" t="s">
        <v>1490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7"/>
    </row>
    <row r="233" spans="1:13" ht="18.75" customHeight="1">
      <c r="A233" s="287" t="str">
        <f t="shared" si="33"/>
        <v>TP</v>
      </c>
      <c r="B233" s="300">
        <f t="shared" si="34"/>
        <v>199</v>
      </c>
      <c r="C233" s="192" t="s">
        <v>478</v>
      </c>
      <c r="D233" s="299" t="s">
        <v>1490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7"/>
    </row>
    <row r="234" spans="1:13" ht="18.75" customHeight="1">
      <c r="A234" s="287" t="str">
        <f t="shared" si="33"/>
        <v>TP</v>
      </c>
      <c r="B234" s="300">
        <f t="shared" si="34"/>
        <v>200</v>
      </c>
      <c r="C234" s="40" t="s">
        <v>1425</v>
      </c>
      <c r="D234" s="299" t="s">
        <v>1490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7"/>
    </row>
    <row r="235" spans="1:13" ht="18.75" customHeight="1">
      <c r="A235" s="287" t="str">
        <f t="shared" si="33"/>
        <v>TP</v>
      </c>
      <c r="B235" s="300">
        <f t="shared" si="34"/>
        <v>201</v>
      </c>
      <c r="C235" s="189" t="s">
        <v>675</v>
      </c>
      <c r="D235" s="299" t="s">
        <v>1490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7"/>
    </row>
    <row r="236" spans="1:13" ht="18.75" customHeight="1">
      <c r="A236" s="287" t="str">
        <f t="shared" si="33"/>
        <v>TP</v>
      </c>
      <c r="B236" s="300">
        <f t="shared" si="34"/>
        <v>202</v>
      </c>
      <c r="C236" s="192" t="s">
        <v>1083</v>
      </c>
      <c r="D236" s="299" t="s">
        <v>1490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7"/>
    </row>
    <row r="237" spans="1:13" ht="18.75" customHeight="1">
      <c r="A237" s="287" t="str">
        <f t="shared" si="33"/>
        <v>TP</v>
      </c>
      <c r="B237" s="300">
        <f t="shared" si="34"/>
        <v>203</v>
      </c>
      <c r="C237" s="40" t="s">
        <v>901</v>
      </c>
      <c r="D237" s="299" t="s">
        <v>1490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7"/>
    </row>
    <row r="238" spans="1:13" ht="18.75" customHeight="1">
      <c r="A238" s="287" t="str">
        <f t="shared" si="33"/>
        <v>TP</v>
      </c>
      <c r="B238" s="300">
        <f t="shared" si="34"/>
        <v>204</v>
      </c>
      <c r="C238" s="192" t="s">
        <v>1096</v>
      </c>
      <c r="D238" s="299" t="s">
        <v>1490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7"/>
    </row>
    <row r="239" spans="1:13" ht="18.75" customHeight="1">
      <c r="A239" s="287" t="str">
        <f t="shared" si="33"/>
        <v>TP</v>
      </c>
      <c r="B239" s="300">
        <f t="shared" si="34"/>
        <v>205</v>
      </c>
      <c r="C239" s="189" t="s">
        <v>1039</v>
      </c>
      <c r="D239" s="299" t="s">
        <v>1490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7"/>
    </row>
    <row r="240" spans="1:13" ht="18.75" customHeight="1">
      <c r="A240" s="287" t="str">
        <f t="shared" si="33"/>
        <v>TP</v>
      </c>
      <c r="B240" s="300">
        <f t="shared" si="34"/>
        <v>206</v>
      </c>
      <c r="C240" s="189" t="s">
        <v>1076</v>
      </c>
      <c r="D240" s="299" t="s">
        <v>1490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7"/>
    </row>
    <row r="241" spans="1:13" ht="18.75" customHeight="1">
      <c r="A241" s="287" t="str">
        <f t="shared" si="33"/>
        <v>TP</v>
      </c>
      <c r="B241" s="300">
        <f t="shared" si="34"/>
        <v>207</v>
      </c>
      <c r="C241" s="192" t="s">
        <v>434</v>
      </c>
      <c r="D241" s="299" t="s">
        <v>1490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7"/>
    </row>
    <row r="242" spans="1:13" ht="18.75" customHeight="1">
      <c r="A242" s="287" t="str">
        <f t="shared" si="33"/>
        <v>TP</v>
      </c>
      <c r="B242" s="300">
        <f t="shared" si="34"/>
        <v>208</v>
      </c>
      <c r="C242" s="189" t="s">
        <v>512</v>
      </c>
      <c r="D242" s="299" t="s">
        <v>1490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7"/>
    </row>
    <row r="243" spans="1:13" ht="18.75" customHeight="1">
      <c r="A243" s="287" t="str">
        <f t="shared" si="33"/>
        <v>TP</v>
      </c>
      <c r="B243" s="300">
        <f t="shared" si="34"/>
        <v>209</v>
      </c>
      <c r="C243" s="189" t="s">
        <v>990</v>
      </c>
      <c r="D243" s="299" t="s">
        <v>1490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7"/>
    </row>
    <row r="244" spans="1:13" ht="18.75" customHeight="1">
      <c r="A244" s="287" t="str">
        <f t="shared" si="33"/>
        <v>TP</v>
      </c>
      <c r="B244" s="300">
        <f t="shared" si="34"/>
        <v>210</v>
      </c>
      <c r="C244" s="189" t="s">
        <v>904</v>
      </c>
      <c r="D244" s="299" t="s">
        <v>1490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7"/>
    </row>
    <row r="245" spans="1:13" ht="18.75" customHeight="1">
      <c r="A245" s="287" t="str">
        <f t="shared" si="33"/>
        <v>TP</v>
      </c>
      <c r="B245" s="300">
        <f t="shared" si="34"/>
        <v>211</v>
      </c>
      <c r="C245" s="291" t="s">
        <v>976</v>
      </c>
      <c r="D245" s="299" t="s">
        <v>1490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7"/>
    </row>
    <row r="246" spans="1:13" ht="18.75" customHeight="1">
      <c r="A246" s="287" t="str">
        <f t="shared" ref="A246:A309" si="37">IF(B246&lt;&gt;"","TP","")</f>
        <v>TP</v>
      </c>
      <c r="B246" s="300">
        <f t="shared" ref="B246:B309" si="38">IF(C246&lt;&gt;"",B245+1,"")</f>
        <v>212</v>
      </c>
      <c r="C246" s="40" t="s">
        <v>1409</v>
      </c>
      <c r="D246" s="299" t="s">
        <v>1490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7"/>
    </row>
    <row r="247" spans="1:13" ht="18.75" customHeight="1">
      <c r="A247" s="287" t="str">
        <f t="shared" si="37"/>
        <v>TP</v>
      </c>
      <c r="B247" s="300">
        <f t="shared" si="38"/>
        <v>213</v>
      </c>
      <c r="C247" s="40" t="s">
        <v>1439</v>
      </c>
      <c r="D247" s="299" t="s">
        <v>1490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7"/>
    </row>
    <row r="248" spans="1:13" ht="18.75" customHeight="1">
      <c r="A248" s="287" t="str">
        <f t="shared" si="37"/>
        <v>TP</v>
      </c>
      <c r="B248" s="300">
        <f t="shared" si="38"/>
        <v>214</v>
      </c>
      <c r="C248" s="291" t="s">
        <v>1088</v>
      </c>
      <c r="D248" s="299" t="s">
        <v>1490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7"/>
    </row>
    <row r="249" spans="1:13" ht="18.75" customHeight="1">
      <c r="A249" s="287" t="str">
        <f t="shared" si="37"/>
        <v>TP</v>
      </c>
      <c r="B249" s="300">
        <f t="shared" si="38"/>
        <v>215</v>
      </c>
      <c r="C249" s="40" t="s">
        <v>1382</v>
      </c>
      <c r="D249" s="299" t="s">
        <v>1490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7"/>
    </row>
    <row r="250" spans="1:13" ht="18.75" customHeight="1">
      <c r="A250" s="287" t="str">
        <f t="shared" si="37"/>
        <v>TP</v>
      </c>
      <c r="B250" s="300">
        <f t="shared" si="38"/>
        <v>216</v>
      </c>
      <c r="C250" s="192" t="s">
        <v>971</v>
      </c>
      <c r="D250" s="299" t="s">
        <v>1490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7"/>
    </row>
    <row r="251" spans="1:13" ht="18.75" customHeight="1">
      <c r="A251" s="287" t="str">
        <f t="shared" si="37"/>
        <v>TP</v>
      </c>
      <c r="B251" s="300">
        <f t="shared" si="38"/>
        <v>217</v>
      </c>
      <c r="C251" s="192" t="s">
        <v>510</v>
      </c>
      <c r="D251" s="299" t="s">
        <v>1490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7"/>
    </row>
    <row r="252" spans="1:13" ht="18.75" customHeight="1">
      <c r="A252" s="287" t="str">
        <f t="shared" si="37"/>
        <v>TP</v>
      </c>
      <c r="B252" s="300">
        <f t="shared" si="38"/>
        <v>218</v>
      </c>
      <c r="C252" s="40" t="s">
        <v>504</v>
      </c>
      <c r="D252" s="299" t="s">
        <v>1490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7"/>
    </row>
    <row r="253" spans="1:13" ht="18.75" customHeight="1">
      <c r="A253" s="287" t="str">
        <f t="shared" si="37"/>
        <v>TP</v>
      </c>
      <c r="B253" s="300">
        <f t="shared" si="38"/>
        <v>219</v>
      </c>
      <c r="C253" s="192" t="s">
        <v>438</v>
      </c>
      <c r="D253" s="299" t="s">
        <v>1490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7"/>
    </row>
    <row r="254" spans="1:13" ht="18.75" customHeight="1">
      <c r="A254" s="287" t="str">
        <f t="shared" si="37"/>
        <v>TP</v>
      </c>
      <c r="B254" s="300">
        <f t="shared" si="38"/>
        <v>220</v>
      </c>
      <c r="C254" s="192" t="s">
        <v>1078</v>
      </c>
      <c r="D254" s="299" t="s">
        <v>1490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7"/>
    </row>
    <row r="255" spans="1:13" ht="18.75" customHeight="1">
      <c r="A255" s="287" t="str">
        <f t="shared" si="37"/>
        <v>TP</v>
      </c>
      <c r="B255" s="300">
        <f t="shared" si="38"/>
        <v>221</v>
      </c>
      <c r="C255" s="189" t="s">
        <v>1037</v>
      </c>
      <c r="D255" s="299" t="s">
        <v>1490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7"/>
    </row>
    <row r="256" spans="1:13" ht="18.75" customHeight="1">
      <c r="A256" s="287" t="str">
        <f t="shared" si="37"/>
        <v>TP</v>
      </c>
      <c r="B256" s="300">
        <f t="shared" si="38"/>
        <v>222</v>
      </c>
      <c r="C256" s="189" t="s">
        <v>660</v>
      </c>
      <c r="D256" s="299" t="s">
        <v>1490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7"/>
    </row>
    <row r="257" spans="1:13" ht="18.75" customHeight="1">
      <c r="A257" s="287" t="str">
        <f t="shared" si="37"/>
        <v>TP</v>
      </c>
      <c r="B257" s="300">
        <f t="shared" si="38"/>
        <v>223</v>
      </c>
      <c r="C257" s="192" t="s">
        <v>994</v>
      </c>
      <c r="D257" s="299" t="s">
        <v>1490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7"/>
    </row>
    <row r="258" spans="1:13" ht="18.75" customHeight="1">
      <c r="A258" s="287" t="str">
        <f t="shared" si="37"/>
        <v>TP</v>
      </c>
      <c r="B258" s="300">
        <f t="shared" si="38"/>
        <v>224</v>
      </c>
      <c r="C258" s="192" t="s">
        <v>950</v>
      </c>
      <c r="D258" s="299" t="s">
        <v>1490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7"/>
    </row>
    <row r="259" spans="1:13" ht="18.75" customHeight="1">
      <c r="A259" s="287" t="str">
        <f t="shared" si="37"/>
        <v>TP</v>
      </c>
      <c r="B259" s="300">
        <f t="shared" si="38"/>
        <v>225</v>
      </c>
      <c r="C259" s="40" t="s">
        <v>1414</v>
      </c>
      <c r="D259" s="299" t="s">
        <v>1490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7"/>
    </row>
    <row r="260" spans="1:13" ht="18.75" customHeight="1">
      <c r="A260" s="287" t="str">
        <f t="shared" si="37"/>
        <v>TP</v>
      </c>
      <c r="B260" s="300">
        <f t="shared" si="38"/>
        <v>226</v>
      </c>
      <c r="C260" s="40" t="s">
        <v>655</v>
      </c>
      <c r="D260" s="299" t="s">
        <v>1490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7"/>
    </row>
    <row r="261" spans="1:13" ht="18.75" customHeight="1">
      <c r="A261" s="287" t="str">
        <f t="shared" si="37"/>
        <v>TP</v>
      </c>
      <c r="B261" s="300">
        <f t="shared" si="38"/>
        <v>227</v>
      </c>
      <c r="C261" s="192" t="s">
        <v>947</v>
      </c>
      <c r="D261" s="299" t="s">
        <v>1490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7"/>
    </row>
    <row r="262" spans="1:13" ht="18.75" customHeight="1">
      <c r="A262" s="287" t="str">
        <f t="shared" si="37"/>
        <v>TP</v>
      </c>
      <c r="B262" s="300">
        <f t="shared" si="38"/>
        <v>228</v>
      </c>
      <c r="C262" s="192" t="s">
        <v>931</v>
      </c>
      <c r="D262" s="299" t="s">
        <v>1490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7"/>
    </row>
    <row r="263" spans="1:13" ht="18.75" customHeight="1">
      <c r="A263" s="287" t="str">
        <f t="shared" si="37"/>
        <v>TP</v>
      </c>
      <c r="B263" s="300">
        <f t="shared" si="38"/>
        <v>229</v>
      </c>
      <c r="C263" s="192" t="s">
        <v>964</v>
      </c>
      <c r="D263" s="299" t="s">
        <v>1490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7"/>
    </row>
    <row r="264" spans="1:13" ht="18.75" customHeight="1">
      <c r="A264" s="287" t="str">
        <f t="shared" si="37"/>
        <v>TP</v>
      </c>
      <c r="B264" s="300">
        <f t="shared" si="38"/>
        <v>230</v>
      </c>
      <c r="C264" s="192" t="s">
        <v>445</v>
      </c>
      <c r="D264" s="299" t="s">
        <v>1490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7"/>
    </row>
    <row r="265" spans="1:13" ht="18.75" customHeight="1">
      <c r="A265" s="287" t="str">
        <f t="shared" si="37"/>
        <v>TP</v>
      </c>
      <c r="B265" s="300">
        <f t="shared" si="38"/>
        <v>231</v>
      </c>
      <c r="C265" s="40" t="s">
        <v>1410</v>
      </c>
      <c r="D265" s="299" t="s">
        <v>1490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7"/>
    </row>
    <row r="266" spans="1:13" ht="18.75" customHeight="1">
      <c r="A266" s="287" t="str">
        <f t="shared" si="37"/>
        <v>TP</v>
      </c>
      <c r="B266" s="300">
        <f t="shared" si="38"/>
        <v>232</v>
      </c>
      <c r="C266" s="40" t="s">
        <v>1365</v>
      </c>
      <c r="D266" s="299" t="s">
        <v>1490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7"/>
    </row>
    <row r="267" spans="1:13" ht="18.75" customHeight="1">
      <c r="A267" s="287" t="str">
        <f t="shared" si="37"/>
        <v>TP</v>
      </c>
      <c r="B267" s="300">
        <f t="shared" si="38"/>
        <v>233</v>
      </c>
      <c r="C267" s="192" t="s">
        <v>430</v>
      </c>
      <c r="D267" s="299" t="s">
        <v>1490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7"/>
    </row>
    <row r="268" spans="1:13" ht="18.75" customHeight="1">
      <c r="A268" s="287" t="str">
        <f t="shared" si="37"/>
        <v>TP</v>
      </c>
      <c r="B268" s="300">
        <f t="shared" si="38"/>
        <v>234</v>
      </c>
      <c r="C268" s="40" t="s">
        <v>1419</v>
      </c>
      <c r="D268" s="299" t="s">
        <v>1490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7"/>
    </row>
    <row r="269" spans="1:13" ht="18.75" customHeight="1">
      <c r="A269" s="287" t="str">
        <f t="shared" si="37"/>
        <v>TP</v>
      </c>
      <c r="B269" s="300">
        <f t="shared" si="38"/>
        <v>235</v>
      </c>
      <c r="C269" s="40" t="s">
        <v>1531</v>
      </c>
      <c r="D269" s="299" t="s">
        <v>1490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7"/>
    </row>
    <row r="270" spans="1:13" ht="18.75" customHeight="1">
      <c r="A270" s="287" t="str">
        <f t="shared" si="37"/>
        <v>TP</v>
      </c>
      <c r="B270" s="300">
        <f t="shared" si="38"/>
        <v>236</v>
      </c>
      <c r="C270" s="189" t="s">
        <v>1067</v>
      </c>
      <c r="D270" s="299" t="s">
        <v>1490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7"/>
    </row>
    <row r="271" spans="1:13" ht="18.75" customHeight="1">
      <c r="A271" s="287" t="str">
        <f t="shared" si="37"/>
        <v>TP</v>
      </c>
      <c r="B271" s="300">
        <f t="shared" si="38"/>
        <v>237</v>
      </c>
      <c r="C271" s="189" t="s">
        <v>1069</v>
      </c>
      <c r="D271" s="299" t="s">
        <v>1490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7"/>
    </row>
    <row r="272" spans="1:13" ht="18.75" customHeight="1">
      <c r="A272" s="287" t="str">
        <f t="shared" si="37"/>
        <v>TP</v>
      </c>
      <c r="B272" s="300">
        <f t="shared" si="38"/>
        <v>238</v>
      </c>
      <c r="C272" s="192" t="s">
        <v>972</v>
      </c>
      <c r="D272" s="299" t="s">
        <v>1490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7"/>
    </row>
    <row r="273" spans="1:13" ht="18.75" customHeight="1">
      <c r="A273" s="287" t="str">
        <f t="shared" si="37"/>
        <v>TP</v>
      </c>
      <c r="B273" s="300">
        <f t="shared" si="38"/>
        <v>239</v>
      </c>
      <c r="C273" s="189" t="s">
        <v>1002</v>
      </c>
      <c r="D273" s="299" t="s">
        <v>1490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7"/>
    </row>
    <row r="274" spans="1:13" ht="18.75" customHeight="1">
      <c r="A274" s="287" t="str">
        <f t="shared" si="37"/>
        <v>TP</v>
      </c>
      <c r="B274" s="300">
        <f t="shared" si="38"/>
        <v>240</v>
      </c>
      <c r="C274" s="192" t="s">
        <v>624</v>
      </c>
      <c r="D274" s="299" t="s">
        <v>1490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7"/>
    </row>
    <row r="275" spans="1:13" ht="18.75" customHeight="1">
      <c r="A275" s="287" t="str">
        <f t="shared" si="37"/>
        <v>TP</v>
      </c>
      <c r="B275" s="300">
        <f t="shared" si="38"/>
        <v>241</v>
      </c>
      <c r="C275" s="40" t="s">
        <v>1505</v>
      </c>
      <c r="D275" s="299" t="s">
        <v>1490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7"/>
    </row>
    <row r="276" spans="1:13" ht="18.75" customHeight="1">
      <c r="A276" s="287" t="str">
        <f t="shared" si="37"/>
        <v>TP</v>
      </c>
      <c r="B276" s="300">
        <f t="shared" si="38"/>
        <v>242</v>
      </c>
      <c r="C276" s="189" t="s">
        <v>1001</v>
      </c>
      <c r="D276" s="299" t="s">
        <v>1490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7"/>
    </row>
    <row r="277" spans="1:13" ht="18.75" customHeight="1">
      <c r="A277" s="287" t="str">
        <f t="shared" si="37"/>
        <v>TP</v>
      </c>
      <c r="B277" s="300">
        <f t="shared" si="38"/>
        <v>243</v>
      </c>
      <c r="C277" s="192" t="s">
        <v>666</v>
      </c>
      <c r="D277" s="299" t="s">
        <v>1490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7"/>
    </row>
    <row r="278" spans="1:13" ht="18.75" customHeight="1">
      <c r="A278" s="287" t="str">
        <f t="shared" si="37"/>
        <v>TP</v>
      </c>
      <c r="B278" s="300">
        <f t="shared" si="38"/>
        <v>244</v>
      </c>
      <c r="C278" s="192" t="s">
        <v>954</v>
      </c>
      <c r="D278" s="299" t="s">
        <v>1490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7"/>
    </row>
    <row r="279" spans="1:13" ht="18.75" customHeight="1">
      <c r="A279" s="287" t="str">
        <f t="shared" si="37"/>
        <v>TP</v>
      </c>
      <c r="B279" s="300">
        <f t="shared" si="38"/>
        <v>245</v>
      </c>
      <c r="C279" s="192" t="s">
        <v>979</v>
      </c>
      <c r="D279" s="299" t="s">
        <v>1490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7"/>
    </row>
    <row r="280" spans="1:13" ht="18.75" customHeight="1">
      <c r="A280" s="287" t="str">
        <f t="shared" si="37"/>
        <v>TP</v>
      </c>
      <c r="B280" s="300">
        <f t="shared" si="38"/>
        <v>246</v>
      </c>
      <c r="C280" s="192" t="s">
        <v>440</v>
      </c>
      <c r="D280" s="299" t="s">
        <v>1490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7"/>
    </row>
    <row r="281" spans="1:13" ht="18.75" customHeight="1">
      <c r="A281" s="287" t="str">
        <f t="shared" si="37"/>
        <v>TP</v>
      </c>
      <c r="B281" s="300">
        <f t="shared" si="38"/>
        <v>247</v>
      </c>
      <c r="C281" s="192" t="s">
        <v>459</v>
      </c>
      <c r="D281" s="299" t="s">
        <v>1490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7"/>
    </row>
    <row r="282" spans="1:13" ht="18.75" customHeight="1">
      <c r="A282" s="287" t="str">
        <f t="shared" si="37"/>
        <v>TP</v>
      </c>
      <c r="B282" s="300">
        <f t="shared" si="38"/>
        <v>248</v>
      </c>
      <c r="C282" s="40" t="s">
        <v>1416</v>
      </c>
      <c r="D282" s="299" t="s">
        <v>1490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7"/>
    </row>
    <row r="283" spans="1:13" ht="18.75" customHeight="1">
      <c r="A283" s="287" t="str">
        <f t="shared" si="37"/>
        <v>TP</v>
      </c>
      <c r="B283" s="300">
        <f t="shared" si="38"/>
        <v>249</v>
      </c>
      <c r="C283" s="192" t="s">
        <v>948</v>
      </c>
      <c r="D283" s="299" t="s">
        <v>1490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7"/>
    </row>
    <row r="284" spans="1:13" ht="18.75" customHeight="1">
      <c r="A284" s="287" t="str">
        <f t="shared" si="37"/>
        <v>TP</v>
      </c>
      <c r="B284" s="300">
        <f t="shared" si="38"/>
        <v>250</v>
      </c>
      <c r="C284" s="192" t="s">
        <v>905</v>
      </c>
      <c r="D284" s="299" t="s">
        <v>1490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7"/>
    </row>
    <row r="285" spans="1:13" ht="18.75" customHeight="1">
      <c r="A285" s="287" t="str">
        <f t="shared" si="37"/>
        <v>TP</v>
      </c>
      <c r="B285" s="300">
        <f t="shared" si="38"/>
        <v>251</v>
      </c>
      <c r="C285" s="40" t="s">
        <v>906</v>
      </c>
      <c r="D285" s="299" t="s">
        <v>1490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7"/>
    </row>
    <row r="286" spans="1:13" ht="18.75" customHeight="1">
      <c r="A286" s="287" t="str">
        <f t="shared" si="37"/>
        <v>TP</v>
      </c>
      <c r="B286" s="300">
        <f t="shared" si="38"/>
        <v>252</v>
      </c>
      <c r="C286" s="752" t="s">
        <v>907</v>
      </c>
      <c r="D286" s="299" t="s">
        <v>1490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7"/>
    </row>
    <row r="287" spans="1:13" ht="18.75" customHeight="1">
      <c r="A287" s="287" t="str">
        <f t="shared" si="37"/>
        <v>TP</v>
      </c>
      <c r="B287" s="300">
        <f t="shared" si="38"/>
        <v>253</v>
      </c>
      <c r="C287" s="189" t="s">
        <v>1085</v>
      </c>
      <c r="D287" s="299" t="s">
        <v>1490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7"/>
    </row>
    <row r="288" spans="1:13" ht="18.75" customHeight="1">
      <c r="A288" s="287" t="str">
        <f t="shared" si="37"/>
        <v>TP</v>
      </c>
      <c r="B288" s="300">
        <f t="shared" si="38"/>
        <v>254</v>
      </c>
      <c r="C288" s="189" t="s">
        <v>1006</v>
      </c>
      <c r="D288" s="299" t="s">
        <v>1490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7"/>
    </row>
    <row r="289" spans="1:13" ht="18.75" customHeight="1">
      <c r="A289" s="287" t="str">
        <f t="shared" si="37"/>
        <v>TP</v>
      </c>
      <c r="B289" s="300">
        <f t="shared" si="38"/>
        <v>255</v>
      </c>
      <c r="C289" s="40" t="s">
        <v>1334</v>
      </c>
      <c r="D289" s="299" t="s">
        <v>1490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7"/>
    </row>
    <row r="290" spans="1:13" ht="18.75" customHeight="1">
      <c r="A290" s="287" t="str">
        <f t="shared" si="37"/>
        <v>TP</v>
      </c>
      <c r="B290" s="300">
        <f t="shared" si="38"/>
        <v>256</v>
      </c>
      <c r="C290" s="192" t="s">
        <v>419</v>
      </c>
      <c r="D290" s="299" t="s">
        <v>1490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7"/>
    </row>
    <row r="291" spans="1:13" ht="18.75" customHeight="1">
      <c r="A291" s="287" t="str">
        <f t="shared" si="37"/>
        <v>TP</v>
      </c>
      <c r="B291" s="300">
        <f t="shared" si="38"/>
        <v>257</v>
      </c>
      <c r="C291" s="40" t="s">
        <v>1286</v>
      </c>
      <c r="D291" s="299" t="s">
        <v>1490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7"/>
    </row>
    <row r="292" spans="1:13" ht="18.75" customHeight="1">
      <c r="A292" s="287" t="str">
        <f t="shared" si="37"/>
        <v>TP</v>
      </c>
      <c r="B292" s="300">
        <f t="shared" si="38"/>
        <v>258</v>
      </c>
      <c r="C292" s="192" t="s">
        <v>668</v>
      </c>
      <c r="D292" s="299" t="s">
        <v>1490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7"/>
    </row>
    <row r="293" spans="1:13" ht="18.75" customHeight="1">
      <c r="A293" s="287" t="str">
        <f t="shared" si="37"/>
        <v>TP</v>
      </c>
      <c r="B293" s="300">
        <f t="shared" si="38"/>
        <v>259</v>
      </c>
      <c r="C293" s="192" t="s">
        <v>681</v>
      </c>
      <c r="D293" s="299" t="s">
        <v>1490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7"/>
    </row>
    <row r="294" spans="1:13" ht="18.75" customHeight="1">
      <c r="A294" s="287" t="str">
        <f t="shared" si="37"/>
        <v>TP</v>
      </c>
      <c r="B294" s="300">
        <f t="shared" si="38"/>
        <v>260</v>
      </c>
      <c r="C294" s="192" t="s">
        <v>444</v>
      </c>
      <c r="D294" s="299" t="s">
        <v>1490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7"/>
    </row>
    <row r="295" spans="1:13" ht="18.75" customHeight="1">
      <c r="A295" s="287" t="str">
        <f t="shared" si="37"/>
        <v>TP</v>
      </c>
      <c r="B295" s="300">
        <f t="shared" si="38"/>
        <v>261</v>
      </c>
      <c r="C295" s="40" t="s">
        <v>1287</v>
      </c>
      <c r="D295" s="299" t="s">
        <v>1490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7"/>
    </row>
    <row r="296" spans="1:13" ht="18.75" customHeight="1">
      <c r="A296" s="287" t="str">
        <f t="shared" si="37"/>
        <v>TP</v>
      </c>
      <c r="B296" s="300">
        <f t="shared" si="38"/>
        <v>262</v>
      </c>
      <c r="C296" s="192" t="s">
        <v>958</v>
      </c>
      <c r="D296" s="299" t="s">
        <v>1490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7"/>
    </row>
    <row r="297" spans="1:13" ht="18.75" customHeight="1">
      <c r="A297" s="287" t="str">
        <f t="shared" si="37"/>
        <v>TP</v>
      </c>
      <c r="B297" s="300">
        <f t="shared" si="38"/>
        <v>263</v>
      </c>
      <c r="C297" s="192" t="s">
        <v>669</v>
      </c>
      <c r="D297" s="299" t="s">
        <v>1490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7"/>
    </row>
    <row r="298" spans="1:13" ht="18.75" customHeight="1">
      <c r="A298" s="287" t="str">
        <f t="shared" si="37"/>
        <v>TP</v>
      </c>
      <c r="B298" s="300">
        <f t="shared" si="38"/>
        <v>264</v>
      </c>
      <c r="C298" s="192" t="s">
        <v>570</v>
      </c>
      <c r="D298" s="299" t="s">
        <v>1490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7"/>
    </row>
    <row r="299" spans="1:13" ht="18.75" customHeight="1">
      <c r="A299" s="287" t="str">
        <f t="shared" si="37"/>
        <v>TP</v>
      </c>
      <c r="B299" s="300">
        <f t="shared" si="38"/>
        <v>265</v>
      </c>
      <c r="C299" s="189" t="s">
        <v>692</v>
      </c>
      <c r="D299" s="299" t="s">
        <v>1490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7"/>
    </row>
    <row r="300" spans="1:13" ht="18.75" customHeight="1">
      <c r="A300" s="287" t="str">
        <f t="shared" si="37"/>
        <v>TP</v>
      </c>
      <c r="B300" s="300">
        <f t="shared" si="38"/>
        <v>266</v>
      </c>
      <c r="C300" s="192" t="s">
        <v>938</v>
      </c>
      <c r="D300" s="299" t="s">
        <v>1490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7"/>
    </row>
    <row r="301" spans="1:13" ht="18.75" customHeight="1">
      <c r="A301" s="287" t="str">
        <f t="shared" si="37"/>
        <v>TP</v>
      </c>
      <c r="B301" s="300">
        <f t="shared" si="38"/>
        <v>267</v>
      </c>
      <c r="C301" s="192" t="s">
        <v>422</v>
      </c>
      <c r="D301" s="299" t="s">
        <v>1490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7"/>
    </row>
    <row r="302" spans="1:13" ht="18.75" customHeight="1">
      <c r="A302" s="287" t="str">
        <f t="shared" si="37"/>
        <v>TP</v>
      </c>
      <c r="B302" s="300">
        <f t="shared" si="38"/>
        <v>268</v>
      </c>
      <c r="C302" s="291" t="s">
        <v>999</v>
      </c>
      <c r="D302" s="299" t="s">
        <v>1490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7"/>
    </row>
    <row r="303" spans="1:13" ht="18.75" customHeight="1">
      <c r="A303" s="287" t="str">
        <f t="shared" si="37"/>
        <v>TP</v>
      </c>
      <c r="B303" s="300">
        <f t="shared" si="38"/>
        <v>269</v>
      </c>
      <c r="C303" s="192" t="s">
        <v>656</v>
      </c>
      <c r="D303" s="299" t="s">
        <v>1490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7"/>
    </row>
    <row r="304" spans="1:13" ht="18.75" customHeight="1">
      <c r="A304" s="287" t="str">
        <f t="shared" si="37"/>
        <v>TP</v>
      </c>
      <c r="B304" s="300">
        <f t="shared" si="38"/>
        <v>270</v>
      </c>
      <c r="C304" s="291" t="s">
        <v>1015</v>
      </c>
      <c r="D304" s="299" t="s">
        <v>1490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7"/>
    </row>
    <row r="305" spans="1:13" ht="18.75" customHeight="1">
      <c r="A305" s="287" t="str">
        <f t="shared" si="37"/>
        <v>TP</v>
      </c>
      <c r="B305" s="300">
        <f t="shared" si="38"/>
        <v>271</v>
      </c>
      <c r="C305" s="192" t="s">
        <v>1097</v>
      </c>
      <c r="D305" s="299" t="s">
        <v>1490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7"/>
    </row>
    <row r="306" spans="1:13" ht="18.75" customHeight="1">
      <c r="A306" s="287" t="str">
        <f t="shared" si="37"/>
        <v>TP</v>
      </c>
      <c r="B306" s="300">
        <f t="shared" si="38"/>
        <v>272</v>
      </c>
      <c r="C306" s="192" t="s">
        <v>969</v>
      </c>
      <c r="D306" s="299" t="s">
        <v>1490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7"/>
    </row>
    <row r="307" spans="1:13" ht="18.75" customHeight="1">
      <c r="A307" s="287" t="str">
        <f t="shared" si="37"/>
        <v>TP</v>
      </c>
      <c r="B307" s="300">
        <f t="shared" si="38"/>
        <v>273</v>
      </c>
      <c r="C307" s="192" t="s">
        <v>965</v>
      </c>
      <c r="D307" s="299" t="s">
        <v>1490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7"/>
    </row>
    <row r="308" spans="1:13" ht="18.75" customHeight="1">
      <c r="A308" s="287" t="str">
        <f t="shared" si="37"/>
        <v>TP</v>
      </c>
      <c r="B308" s="300">
        <f t="shared" si="38"/>
        <v>274</v>
      </c>
      <c r="C308" s="192" t="s">
        <v>1098</v>
      </c>
      <c r="D308" s="299" t="s">
        <v>1490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7"/>
    </row>
    <row r="309" spans="1:13" ht="18.75" customHeight="1">
      <c r="A309" s="287" t="str">
        <f t="shared" si="37"/>
        <v>TP</v>
      </c>
      <c r="B309" s="300">
        <f t="shared" si="38"/>
        <v>275</v>
      </c>
      <c r="C309" s="192" t="s">
        <v>1080</v>
      </c>
      <c r="D309" s="299" t="s">
        <v>1490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7"/>
    </row>
    <row r="310" spans="1:13" ht="18.75" customHeight="1">
      <c r="A310" s="287" t="str">
        <f t="shared" ref="A310:A373" si="41">IF(B310&lt;&gt;"","TP","")</f>
        <v>TP</v>
      </c>
      <c r="B310" s="300">
        <f t="shared" ref="B310:B373" si="42">IF(C310&lt;&gt;"",B309+1,"")</f>
        <v>276</v>
      </c>
      <c r="C310" s="40" t="s">
        <v>1535</v>
      </c>
      <c r="D310" s="299" t="s">
        <v>1490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7"/>
    </row>
    <row r="311" spans="1:13" ht="18.75" customHeight="1">
      <c r="A311" s="287" t="str">
        <f t="shared" si="41"/>
        <v>TP</v>
      </c>
      <c r="B311" s="300">
        <f t="shared" si="42"/>
        <v>277</v>
      </c>
      <c r="C311" s="189" t="s">
        <v>1038</v>
      </c>
      <c r="D311" s="299" t="s">
        <v>1490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7"/>
    </row>
    <row r="312" spans="1:13" ht="18.75" customHeight="1">
      <c r="A312" s="287" t="str">
        <f t="shared" si="41"/>
        <v>TP</v>
      </c>
      <c r="B312" s="300">
        <f t="shared" si="42"/>
        <v>278</v>
      </c>
      <c r="C312" s="189" t="s">
        <v>1062</v>
      </c>
      <c r="D312" s="299" t="s">
        <v>1490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7"/>
    </row>
    <row r="313" spans="1:13" ht="18.75" customHeight="1">
      <c r="A313" s="287" t="str">
        <f t="shared" si="41"/>
        <v>TP</v>
      </c>
      <c r="B313" s="300">
        <f t="shared" si="42"/>
        <v>279</v>
      </c>
      <c r="C313" s="192" t="s">
        <v>1033</v>
      </c>
      <c r="D313" s="299" t="s">
        <v>1490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7"/>
    </row>
    <row r="314" spans="1:13" ht="18.75" customHeight="1">
      <c r="A314" s="287" t="str">
        <f t="shared" si="41"/>
        <v>TP</v>
      </c>
      <c r="B314" s="300">
        <f t="shared" si="42"/>
        <v>280</v>
      </c>
      <c r="C314" s="189" t="s">
        <v>1061</v>
      </c>
      <c r="D314" s="299" t="s">
        <v>1490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7"/>
    </row>
    <row r="315" spans="1:13" ht="18.75" customHeight="1">
      <c r="A315" s="287" t="str">
        <f t="shared" si="41"/>
        <v>TP</v>
      </c>
      <c r="B315" s="300">
        <f t="shared" si="42"/>
        <v>281</v>
      </c>
      <c r="C315" s="40" t="s">
        <v>1440</v>
      </c>
      <c r="D315" s="299" t="s">
        <v>1490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7"/>
    </row>
    <row r="316" spans="1:13" ht="18.75" customHeight="1">
      <c r="A316" s="287" t="str">
        <f t="shared" si="41"/>
        <v>TP</v>
      </c>
      <c r="B316" s="300">
        <f t="shared" si="42"/>
        <v>282</v>
      </c>
      <c r="C316" s="40" t="s">
        <v>1413</v>
      </c>
      <c r="D316" s="299" t="s">
        <v>1490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7"/>
    </row>
    <row r="317" spans="1:13" ht="18.75" customHeight="1">
      <c r="A317" s="287" t="str">
        <f t="shared" si="41"/>
        <v>TP</v>
      </c>
      <c r="B317" s="300">
        <f t="shared" si="42"/>
        <v>283</v>
      </c>
      <c r="C317" s="189" t="s">
        <v>1003</v>
      </c>
      <c r="D317" s="299" t="s">
        <v>1490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7"/>
    </row>
    <row r="318" spans="1:13" ht="18.75" customHeight="1">
      <c r="A318" s="287" t="str">
        <f t="shared" si="41"/>
        <v>TP</v>
      </c>
      <c r="B318" s="300">
        <f t="shared" si="42"/>
        <v>284</v>
      </c>
      <c r="C318" s="192" t="s">
        <v>471</v>
      </c>
      <c r="D318" s="299" t="s">
        <v>1490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7"/>
    </row>
    <row r="319" spans="1:13" ht="18.75" customHeight="1">
      <c r="A319" s="287" t="str">
        <f t="shared" si="41"/>
        <v>TP</v>
      </c>
      <c r="B319" s="300">
        <f t="shared" si="42"/>
        <v>285</v>
      </c>
      <c r="C319" s="40" t="s">
        <v>1434</v>
      </c>
      <c r="D319" s="299" t="s">
        <v>1490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7"/>
    </row>
    <row r="320" spans="1:13" ht="18.75" customHeight="1">
      <c r="A320" s="287" t="str">
        <f t="shared" si="41"/>
        <v>TP</v>
      </c>
      <c r="B320" s="300">
        <f t="shared" si="42"/>
        <v>286</v>
      </c>
      <c r="C320" s="189" t="s">
        <v>1064</v>
      </c>
      <c r="D320" s="299" t="s">
        <v>1490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7"/>
    </row>
    <row r="321" spans="1:13" ht="18.75" customHeight="1">
      <c r="A321" s="287" t="str">
        <f t="shared" si="41"/>
        <v>TP</v>
      </c>
      <c r="B321" s="300">
        <f t="shared" si="42"/>
        <v>287</v>
      </c>
      <c r="C321" s="189" t="s">
        <v>1065</v>
      </c>
      <c r="D321" s="299" t="s">
        <v>1490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7"/>
    </row>
    <row r="322" spans="1:13" ht="18.75" customHeight="1">
      <c r="A322" s="287" t="str">
        <f t="shared" si="41"/>
        <v>TP</v>
      </c>
      <c r="B322" s="300">
        <f t="shared" si="42"/>
        <v>288</v>
      </c>
      <c r="C322" s="189" t="s">
        <v>1066</v>
      </c>
      <c r="D322" s="299" t="s">
        <v>1490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7"/>
    </row>
    <row r="323" spans="1:13" ht="18.75" customHeight="1">
      <c r="A323" s="287" t="str">
        <f t="shared" si="41"/>
        <v>TP</v>
      </c>
      <c r="B323" s="300">
        <f t="shared" si="42"/>
        <v>289</v>
      </c>
      <c r="C323" s="189" t="s">
        <v>1032</v>
      </c>
      <c r="D323" s="299" t="s">
        <v>1490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7"/>
    </row>
    <row r="324" spans="1:13" ht="18.75" customHeight="1">
      <c r="A324" s="287" t="str">
        <f t="shared" si="41"/>
        <v>TP</v>
      </c>
      <c r="B324" s="300">
        <f t="shared" si="42"/>
        <v>290</v>
      </c>
      <c r="C324" s="189" t="s">
        <v>1034</v>
      </c>
      <c r="D324" s="299" t="s">
        <v>1490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7"/>
    </row>
    <row r="325" spans="1:13" ht="18.75" customHeight="1">
      <c r="A325" s="287" t="str">
        <f t="shared" si="41"/>
        <v>TP</v>
      </c>
      <c r="B325" s="300">
        <f t="shared" si="42"/>
        <v>291</v>
      </c>
      <c r="C325" s="192" t="s">
        <v>944</v>
      </c>
      <c r="D325" s="299" t="s">
        <v>1490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7"/>
    </row>
    <row r="326" spans="1:13" ht="18.75" customHeight="1">
      <c r="A326" s="287" t="str">
        <f t="shared" si="41"/>
        <v>TP</v>
      </c>
      <c r="B326" s="300">
        <f t="shared" si="42"/>
        <v>292</v>
      </c>
      <c r="C326" s="192" t="s">
        <v>928</v>
      </c>
      <c r="D326" s="299" t="s">
        <v>1490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7"/>
    </row>
    <row r="327" spans="1:13" ht="18.75" customHeight="1">
      <c r="A327" s="287" t="str">
        <f t="shared" si="41"/>
        <v>TP</v>
      </c>
      <c r="B327" s="300">
        <f t="shared" si="42"/>
        <v>293</v>
      </c>
      <c r="C327" s="40" t="s">
        <v>1513</v>
      </c>
      <c r="D327" s="299" t="s">
        <v>1490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7"/>
    </row>
    <row r="328" spans="1:13" ht="18.75" customHeight="1">
      <c r="A328" s="287" t="str">
        <f t="shared" si="41"/>
        <v>TP</v>
      </c>
      <c r="B328" s="300">
        <f t="shared" si="42"/>
        <v>294</v>
      </c>
      <c r="C328" s="192" t="s">
        <v>579</v>
      </c>
      <c r="D328" s="299" t="s">
        <v>1490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7"/>
    </row>
    <row r="329" spans="1:13" ht="18.75" customHeight="1">
      <c r="A329" s="287" t="str">
        <f t="shared" si="41"/>
        <v>TP</v>
      </c>
      <c r="B329" s="300">
        <f t="shared" si="42"/>
        <v>295</v>
      </c>
      <c r="C329" s="192" t="s">
        <v>689</v>
      </c>
      <c r="D329" s="299" t="s">
        <v>1490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7"/>
    </row>
    <row r="330" spans="1:13" ht="18.75" customHeight="1">
      <c r="A330" s="287" t="str">
        <f t="shared" si="41"/>
        <v>TP</v>
      </c>
      <c r="B330" s="300">
        <f t="shared" si="42"/>
        <v>296</v>
      </c>
      <c r="C330" s="40" t="s">
        <v>1573</v>
      </c>
      <c r="D330" s="299" t="s">
        <v>1490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7"/>
    </row>
    <row r="331" spans="1:13" ht="18.75" customHeight="1">
      <c r="A331" s="287" t="str">
        <f t="shared" si="41"/>
        <v>TP</v>
      </c>
      <c r="B331" s="300">
        <f t="shared" si="42"/>
        <v>297</v>
      </c>
      <c r="C331" s="189" t="s">
        <v>670</v>
      </c>
      <c r="D331" s="299" t="s">
        <v>1490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7"/>
    </row>
    <row r="332" spans="1:13" ht="18.75" customHeight="1">
      <c r="A332" s="287" t="str">
        <f t="shared" si="41"/>
        <v>TP</v>
      </c>
      <c r="B332" s="300">
        <f t="shared" si="42"/>
        <v>298</v>
      </c>
      <c r="C332" s="189" t="s">
        <v>1016</v>
      </c>
      <c r="D332" s="299" t="s">
        <v>1490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7"/>
    </row>
    <row r="333" spans="1:13" ht="18.75" customHeight="1">
      <c r="A333" s="287" t="str">
        <f t="shared" si="41"/>
        <v>TP</v>
      </c>
      <c r="B333" s="300">
        <f t="shared" si="42"/>
        <v>299</v>
      </c>
      <c r="C333" s="40" t="s">
        <v>1449</v>
      </c>
      <c r="D333" s="299" t="s">
        <v>1490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7"/>
    </row>
    <row r="334" spans="1:13" ht="18.75" customHeight="1">
      <c r="A334" s="287" t="str">
        <f t="shared" si="41"/>
        <v>TP</v>
      </c>
      <c r="B334" s="300">
        <f t="shared" si="42"/>
        <v>300</v>
      </c>
      <c r="C334" s="40" t="s">
        <v>1539</v>
      </c>
      <c r="D334" s="299" t="s">
        <v>1490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7"/>
    </row>
    <row r="335" spans="1:13" ht="18.75" customHeight="1">
      <c r="A335" s="287" t="str">
        <f t="shared" si="41"/>
        <v>TP</v>
      </c>
      <c r="B335" s="300">
        <f t="shared" si="42"/>
        <v>301</v>
      </c>
      <c r="C335" s="192" t="s">
        <v>658</v>
      </c>
      <c r="D335" s="299" t="s">
        <v>1490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7"/>
    </row>
    <row r="336" spans="1:13" ht="18.75" customHeight="1">
      <c r="A336" s="287" t="str">
        <f t="shared" si="41"/>
        <v>TP</v>
      </c>
      <c r="B336" s="300">
        <f t="shared" si="42"/>
        <v>302</v>
      </c>
      <c r="C336" s="189" t="s">
        <v>992</v>
      </c>
      <c r="D336" s="299" t="s">
        <v>1490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7"/>
    </row>
    <row r="337" spans="1:13" ht="18.75" customHeight="1">
      <c r="A337" s="287" t="str">
        <f t="shared" si="41"/>
        <v>TP</v>
      </c>
      <c r="B337" s="300">
        <f t="shared" si="42"/>
        <v>303</v>
      </c>
      <c r="C337" s="192" t="s">
        <v>908</v>
      </c>
      <c r="D337" s="299" t="s">
        <v>1490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7"/>
    </row>
    <row r="338" spans="1:13" ht="18.75" customHeight="1">
      <c r="A338" s="287" t="str">
        <f t="shared" si="41"/>
        <v>TP</v>
      </c>
      <c r="B338" s="300">
        <f t="shared" si="42"/>
        <v>304</v>
      </c>
      <c r="C338" s="192" t="s">
        <v>910</v>
      </c>
      <c r="D338" s="299" t="s">
        <v>1490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7"/>
    </row>
    <row r="339" spans="1:13" ht="18.75" customHeight="1">
      <c r="A339" s="287" t="str">
        <f t="shared" si="41"/>
        <v>TP</v>
      </c>
      <c r="B339" s="300">
        <f t="shared" si="42"/>
        <v>305</v>
      </c>
      <c r="C339" s="192" t="s">
        <v>912</v>
      </c>
      <c r="D339" s="299" t="s">
        <v>1490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7"/>
    </row>
    <row r="340" spans="1:13" ht="18.75" customHeight="1">
      <c r="A340" s="287" t="str">
        <f t="shared" si="41"/>
        <v>TP</v>
      </c>
      <c r="B340" s="300">
        <f t="shared" si="42"/>
        <v>306</v>
      </c>
      <c r="C340" s="192" t="s">
        <v>1049</v>
      </c>
      <c r="D340" s="299" t="s">
        <v>1490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7"/>
    </row>
    <row r="341" spans="1:13" ht="18.75" customHeight="1">
      <c r="A341" s="287" t="str">
        <f t="shared" si="41"/>
        <v>TP</v>
      </c>
      <c r="B341" s="300">
        <f t="shared" si="42"/>
        <v>307</v>
      </c>
      <c r="C341" s="192" t="s">
        <v>1025</v>
      </c>
      <c r="D341" s="299" t="s">
        <v>1490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7"/>
    </row>
    <row r="342" spans="1:13" ht="18.75" customHeight="1">
      <c r="A342" s="287" t="str">
        <f t="shared" si="41"/>
        <v>TP</v>
      </c>
      <c r="B342" s="300">
        <f t="shared" si="42"/>
        <v>308</v>
      </c>
      <c r="C342" s="192" t="s">
        <v>986</v>
      </c>
      <c r="D342" s="299" t="s">
        <v>1490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7"/>
    </row>
    <row r="343" spans="1:13" ht="18.75" customHeight="1">
      <c r="A343" s="287" t="str">
        <f t="shared" si="41"/>
        <v>TP</v>
      </c>
      <c r="B343" s="300">
        <f t="shared" si="42"/>
        <v>309</v>
      </c>
      <c r="C343" s="192" t="s">
        <v>1040</v>
      </c>
      <c r="D343" s="299" t="s">
        <v>1490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7"/>
    </row>
    <row r="344" spans="1:13" ht="18.75" customHeight="1">
      <c r="A344" s="287" t="str">
        <f t="shared" si="41"/>
        <v>TP</v>
      </c>
      <c r="B344" s="300">
        <f t="shared" si="42"/>
        <v>310</v>
      </c>
      <c r="C344" s="189" t="s">
        <v>1044</v>
      </c>
      <c r="D344" s="299" t="s">
        <v>1490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7"/>
    </row>
    <row r="345" spans="1:13" ht="18.75" customHeight="1">
      <c r="A345" s="287" t="str">
        <f t="shared" si="41"/>
        <v>TP</v>
      </c>
      <c r="B345" s="300">
        <f t="shared" si="42"/>
        <v>311</v>
      </c>
      <c r="C345" s="189" t="s">
        <v>1052</v>
      </c>
      <c r="D345" s="299" t="s">
        <v>1490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7"/>
    </row>
    <row r="346" spans="1:13" ht="18.75" customHeight="1">
      <c r="A346" s="287" t="str">
        <f t="shared" si="41"/>
        <v>TP</v>
      </c>
      <c r="B346" s="300">
        <f t="shared" si="42"/>
        <v>312</v>
      </c>
      <c r="C346" s="189" t="s">
        <v>1051</v>
      </c>
      <c r="D346" s="299" t="s">
        <v>1490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7"/>
    </row>
    <row r="347" spans="1:13" ht="18.75" customHeight="1">
      <c r="A347" s="287" t="str">
        <f t="shared" si="41"/>
        <v>TP</v>
      </c>
      <c r="B347" s="300">
        <f t="shared" si="42"/>
        <v>313</v>
      </c>
      <c r="C347" s="189" t="s">
        <v>1063</v>
      </c>
      <c r="D347" s="299" t="s">
        <v>1490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7"/>
    </row>
    <row r="348" spans="1:13" ht="18.75" customHeight="1">
      <c r="A348" s="287" t="str">
        <f t="shared" si="41"/>
        <v>TP</v>
      </c>
      <c r="B348" s="300">
        <f t="shared" si="42"/>
        <v>314</v>
      </c>
      <c r="C348" s="189" t="s">
        <v>1043</v>
      </c>
      <c r="D348" s="299" t="s">
        <v>1490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7"/>
    </row>
    <row r="349" spans="1:13" ht="18.75" customHeight="1">
      <c r="A349" s="287" t="str">
        <f t="shared" si="41"/>
        <v>TP</v>
      </c>
      <c r="B349" s="300">
        <f t="shared" si="42"/>
        <v>315</v>
      </c>
      <c r="C349" s="192" t="s">
        <v>959</v>
      </c>
      <c r="D349" s="299" t="s">
        <v>1490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7"/>
    </row>
    <row r="350" spans="1:13" ht="18.75" customHeight="1">
      <c r="A350" s="287" t="str">
        <f t="shared" si="41"/>
        <v>TP</v>
      </c>
      <c r="B350" s="300">
        <f t="shared" si="42"/>
        <v>316</v>
      </c>
      <c r="C350" s="192" t="s">
        <v>960</v>
      </c>
      <c r="D350" s="299" t="s">
        <v>1490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7"/>
    </row>
    <row r="351" spans="1:13" ht="18.75" customHeight="1">
      <c r="A351" s="287" t="str">
        <f t="shared" si="41"/>
        <v>TP</v>
      </c>
      <c r="B351" s="300">
        <f t="shared" si="42"/>
        <v>317</v>
      </c>
      <c r="C351" s="40" t="s">
        <v>1367</v>
      </c>
      <c r="D351" s="299" t="s">
        <v>1490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7"/>
    </row>
    <row r="352" spans="1:13" ht="18.75" customHeight="1">
      <c r="A352" s="287" t="str">
        <f t="shared" si="41"/>
        <v>TP</v>
      </c>
      <c r="B352" s="300">
        <f t="shared" si="42"/>
        <v>318</v>
      </c>
      <c r="C352" s="192" t="s">
        <v>679</v>
      </c>
      <c r="D352" s="299" t="s">
        <v>1490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7"/>
    </row>
    <row r="353" spans="1:13" ht="18.75" customHeight="1">
      <c r="A353" s="287" t="str">
        <f t="shared" si="41"/>
        <v>TP</v>
      </c>
      <c r="B353" s="300">
        <f t="shared" si="42"/>
        <v>319</v>
      </c>
      <c r="C353" s="192" t="s">
        <v>932</v>
      </c>
      <c r="D353" s="299" t="s">
        <v>1490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7"/>
    </row>
    <row r="354" spans="1:13" ht="18.75" customHeight="1">
      <c r="A354" s="287" t="str">
        <f t="shared" si="41"/>
        <v>TP</v>
      </c>
      <c r="B354" s="300">
        <f t="shared" si="42"/>
        <v>320</v>
      </c>
      <c r="C354" s="192" t="s">
        <v>962</v>
      </c>
      <c r="D354" s="299" t="s">
        <v>1490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7"/>
    </row>
    <row r="355" spans="1:13" ht="18.75" customHeight="1">
      <c r="A355" s="287" t="str">
        <f t="shared" si="41"/>
        <v>TP</v>
      </c>
      <c r="B355" s="300">
        <f t="shared" si="42"/>
        <v>321</v>
      </c>
      <c r="C355" s="189" t="s">
        <v>680</v>
      </c>
      <c r="D355" s="299" t="s">
        <v>1490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7"/>
    </row>
    <row r="356" spans="1:13" ht="18.75" customHeight="1">
      <c r="A356" s="287" t="str">
        <f t="shared" si="41"/>
        <v>TP</v>
      </c>
      <c r="B356" s="300">
        <f t="shared" si="42"/>
        <v>322</v>
      </c>
      <c r="C356" s="189" t="s">
        <v>1036</v>
      </c>
      <c r="D356" s="299" t="s">
        <v>1490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7"/>
    </row>
    <row r="357" spans="1:13" ht="18.75" customHeight="1">
      <c r="A357" s="287" t="str">
        <f t="shared" si="41"/>
        <v>TP</v>
      </c>
      <c r="B357" s="300">
        <f t="shared" si="42"/>
        <v>323</v>
      </c>
      <c r="C357" s="192" t="s">
        <v>484</v>
      </c>
      <c r="D357" s="299" t="s">
        <v>1490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7"/>
    </row>
    <row r="358" spans="1:13" ht="18.75" customHeight="1">
      <c r="A358" s="287" t="str">
        <f t="shared" si="41"/>
        <v>TP</v>
      </c>
      <c r="B358" s="300">
        <f t="shared" si="42"/>
        <v>324</v>
      </c>
      <c r="C358" s="189" t="s">
        <v>1035</v>
      </c>
      <c r="D358" s="299" t="s">
        <v>1490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7"/>
    </row>
    <row r="359" spans="1:13" ht="18.75" customHeight="1">
      <c r="A359" s="287" t="str">
        <f t="shared" si="41"/>
        <v>TP</v>
      </c>
      <c r="B359" s="300">
        <f t="shared" si="42"/>
        <v>325</v>
      </c>
      <c r="C359" s="192" t="s">
        <v>1027</v>
      </c>
      <c r="D359" s="299" t="s">
        <v>1490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7"/>
    </row>
    <row r="360" spans="1:13" ht="18.75" customHeight="1">
      <c r="A360" s="287" t="str">
        <f t="shared" si="41"/>
        <v>TP</v>
      </c>
      <c r="B360" s="300">
        <f t="shared" si="42"/>
        <v>326</v>
      </c>
      <c r="C360" s="192" t="s">
        <v>973</v>
      </c>
      <c r="D360" s="299" t="s">
        <v>1490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7"/>
    </row>
    <row r="361" spans="1:13" ht="18.75" customHeight="1">
      <c r="A361" s="287" t="str">
        <f t="shared" si="41"/>
        <v>TP</v>
      </c>
      <c r="B361" s="300">
        <f t="shared" si="42"/>
        <v>327</v>
      </c>
      <c r="C361" s="40" t="s">
        <v>1379</v>
      </c>
      <c r="D361" s="299" t="s">
        <v>1490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7"/>
    </row>
    <row r="362" spans="1:13" ht="18.75" customHeight="1">
      <c r="A362" s="287" t="str">
        <f t="shared" si="41"/>
        <v>TP</v>
      </c>
      <c r="B362" s="300">
        <f t="shared" si="42"/>
        <v>328</v>
      </c>
      <c r="C362" s="189" t="s">
        <v>1017</v>
      </c>
      <c r="D362" s="299" t="s">
        <v>1490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7"/>
    </row>
    <row r="363" spans="1:13" ht="18.75" customHeight="1">
      <c r="A363" s="287" t="str">
        <f t="shared" si="41"/>
        <v>TP</v>
      </c>
      <c r="B363" s="300">
        <f t="shared" si="42"/>
        <v>329</v>
      </c>
      <c r="C363" s="192" t="s">
        <v>913</v>
      </c>
      <c r="D363" s="299" t="s">
        <v>1490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7"/>
    </row>
    <row r="364" spans="1:13" ht="18.75" customHeight="1">
      <c r="A364" s="287" t="str">
        <f t="shared" si="41"/>
        <v>TP</v>
      </c>
      <c r="B364" s="300">
        <f t="shared" si="42"/>
        <v>330</v>
      </c>
      <c r="C364" s="894" t="s">
        <v>1020</v>
      </c>
      <c r="D364" s="299" t="s">
        <v>1490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7"/>
    </row>
    <row r="365" spans="1:13" ht="18.75" customHeight="1">
      <c r="A365" s="287" t="str">
        <f t="shared" si="41"/>
        <v>TP</v>
      </c>
      <c r="B365" s="300">
        <f t="shared" si="42"/>
        <v>331</v>
      </c>
      <c r="C365" s="192" t="s">
        <v>974</v>
      </c>
      <c r="D365" s="299" t="s">
        <v>1490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7"/>
    </row>
    <row r="366" spans="1:13" ht="18.75" customHeight="1">
      <c r="A366" s="287" t="str">
        <f t="shared" si="41"/>
        <v>TP</v>
      </c>
      <c r="B366" s="300">
        <f t="shared" si="42"/>
        <v>332</v>
      </c>
      <c r="C366" s="291" t="s">
        <v>977</v>
      </c>
      <c r="D366" s="299" t="s">
        <v>1490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7"/>
    </row>
    <row r="367" spans="1:13" ht="18.75" customHeight="1">
      <c r="A367" s="287" t="str">
        <f t="shared" si="41"/>
        <v>TP</v>
      </c>
      <c r="B367" s="300">
        <f t="shared" si="42"/>
        <v>333</v>
      </c>
      <c r="C367" s="192" t="s">
        <v>983</v>
      </c>
      <c r="D367" s="299" t="s">
        <v>1490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7"/>
    </row>
    <row r="368" spans="1:13" ht="18.75" customHeight="1">
      <c r="A368" s="287" t="str">
        <f t="shared" si="41"/>
        <v>TP</v>
      </c>
      <c r="B368" s="300">
        <f t="shared" si="42"/>
        <v>334</v>
      </c>
      <c r="C368" s="40" t="s">
        <v>1512</v>
      </c>
      <c r="D368" s="299" t="s">
        <v>1490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7"/>
    </row>
    <row r="369" spans="1:13" ht="18.75" customHeight="1">
      <c r="A369" s="287" t="str">
        <f t="shared" si="41"/>
        <v>TP</v>
      </c>
      <c r="B369" s="300">
        <f t="shared" si="42"/>
        <v>335</v>
      </c>
      <c r="C369" s="192" t="s">
        <v>683</v>
      </c>
      <c r="D369" s="299" t="s">
        <v>1490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7"/>
    </row>
    <row r="370" spans="1:13" ht="18.75" customHeight="1">
      <c r="A370" s="287" t="str">
        <f t="shared" si="41"/>
        <v>TP</v>
      </c>
      <c r="B370" s="300">
        <f t="shared" si="42"/>
        <v>336</v>
      </c>
      <c r="C370" s="189" t="s">
        <v>991</v>
      </c>
      <c r="D370" s="299" t="s">
        <v>1490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7"/>
    </row>
    <row r="371" spans="1:13" ht="18.75" customHeight="1">
      <c r="A371" s="287" t="str">
        <f t="shared" si="41"/>
        <v>TP</v>
      </c>
      <c r="B371" s="300">
        <f t="shared" si="42"/>
        <v>337</v>
      </c>
      <c r="C371" s="192" t="s">
        <v>942</v>
      </c>
      <c r="D371" s="299" t="s">
        <v>1490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7"/>
    </row>
    <row r="372" spans="1:13" ht="18.75" customHeight="1">
      <c r="A372" s="287" t="str">
        <f t="shared" si="41"/>
        <v>TP</v>
      </c>
      <c r="B372" s="300">
        <f t="shared" si="42"/>
        <v>338</v>
      </c>
      <c r="C372" s="192" t="s">
        <v>953</v>
      </c>
      <c r="D372" s="299" t="s">
        <v>1490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7"/>
    </row>
    <row r="373" spans="1:13" ht="18.75" customHeight="1">
      <c r="A373" s="287" t="str">
        <f t="shared" si="41"/>
        <v>TP</v>
      </c>
      <c r="B373" s="300">
        <f t="shared" si="42"/>
        <v>339</v>
      </c>
      <c r="C373" s="192" t="s">
        <v>993</v>
      </c>
      <c r="D373" s="299" t="s">
        <v>1490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7"/>
    </row>
    <row r="374" spans="1:13" ht="18.75" customHeight="1">
      <c r="A374" s="287" t="str">
        <f t="shared" ref="A374:A407" si="45">IF(B374&lt;&gt;"","TP","")</f>
        <v>TP</v>
      </c>
      <c r="B374" s="300">
        <f t="shared" ref="B374:B407" si="46">IF(C374&lt;&gt;"",B373+1,"")</f>
        <v>340</v>
      </c>
      <c r="C374" s="40" t="s">
        <v>1446</v>
      </c>
      <c r="D374" s="299" t="s">
        <v>1490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7"/>
    </row>
    <row r="375" spans="1:13" ht="18.75" customHeight="1">
      <c r="A375" s="287" t="str">
        <f t="shared" si="45"/>
        <v>TP</v>
      </c>
      <c r="B375" s="300">
        <f t="shared" si="46"/>
        <v>341</v>
      </c>
      <c r="C375" s="192" t="s">
        <v>930</v>
      </c>
      <c r="D375" s="299" t="s">
        <v>1490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7"/>
    </row>
    <row r="376" spans="1:13" ht="18.75" customHeight="1">
      <c r="A376" s="287" t="str">
        <f t="shared" si="45"/>
        <v>TP</v>
      </c>
      <c r="B376" s="300">
        <f t="shared" si="46"/>
        <v>342</v>
      </c>
      <c r="C376" s="192" t="s">
        <v>1100</v>
      </c>
      <c r="D376" s="299" t="s">
        <v>1490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7"/>
    </row>
    <row r="377" spans="1:13" ht="18.75" customHeight="1">
      <c r="A377" s="287" t="str">
        <f t="shared" si="45"/>
        <v>TP</v>
      </c>
      <c r="B377" s="300">
        <f t="shared" si="46"/>
        <v>343</v>
      </c>
      <c r="C377" s="189" t="s">
        <v>978</v>
      </c>
      <c r="D377" s="299" t="s">
        <v>1490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7"/>
    </row>
    <row r="378" spans="1:13" ht="18.75" customHeight="1">
      <c r="A378" s="287" t="str">
        <f t="shared" si="45"/>
        <v>TP</v>
      </c>
      <c r="B378" s="300">
        <f t="shared" si="46"/>
        <v>344</v>
      </c>
      <c r="C378" s="192" t="s">
        <v>686</v>
      </c>
      <c r="D378" s="299" t="s">
        <v>1490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7"/>
    </row>
    <row r="379" spans="1:13" ht="18.75" customHeight="1">
      <c r="A379" s="287" t="str">
        <f t="shared" si="45"/>
        <v>TP</v>
      </c>
      <c r="B379" s="300">
        <f t="shared" si="46"/>
        <v>345</v>
      </c>
      <c r="C379" s="192" t="s">
        <v>685</v>
      </c>
      <c r="D379" s="299" t="s">
        <v>1490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7"/>
    </row>
    <row r="380" spans="1:13" ht="18.75" customHeight="1">
      <c r="A380" s="287" t="str">
        <f t="shared" si="45"/>
        <v>TP</v>
      </c>
      <c r="B380" s="300">
        <f t="shared" si="46"/>
        <v>346</v>
      </c>
      <c r="C380" s="189" t="s">
        <v>1048</v>
      </c>
      <c r="D380" s="299" t="s">
        <v>1490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7"/>
    </row>
    <row r="381" spans="1:13" ht="18.75" customHeight="1">
      <c r="A381" s="287" t="str">
        <f t="shared" si="45"/>
        <v>TP</v>
      </c>
      <c r="B381" s="300">
        <f t="shared" si="46"/>
        <v>347</v>
      </c>
      <c r="C381" s="189" t="s">
        <v>1042</v>
      </c>
      <c r="D381" s="299" t="s">
        <v>1490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7"/>
    </row>
    <row r="382" spans="1:13" ht="18.75" customHeight="1">
      <c r="A382" s="287" t="str">
        <f t="shared" si="45"/>
        <v>TP</v>
      </c>
      <c r="B382" s="300">
        <f t="shared" si="46"/>
        <v>348</v>
      </c>
      <c r="C382" s="189" t="s">
        <v>1050</v>
      </c>
      <c r="D382" s="299" t="s">
        <v>1490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7"/>
    </row>
    <row r="383" spans="1:13" ht="18.75" customHeight="1">
      <c r="A383" s="287" t="str">
        <f t="shared" si="45"/>
        <v>TP</v>
      </c>
      <c r="B383" s="300">
        <f t="shared" si="46"/>
        <v>349</v>
      </c>
      <c r="C383" s="192" t="s">
        <v>1023</v>
      </c>
      <c r="D383" s="299" t="s">
        <v>1490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7"/>
    </row>
    <row r="384" spans="1:13" ht="18.75" customHeight="1">
      <c r="A384" s="287" t="str">
        <f t="shared" si="45"/>
        <v>TP</v>
      </c>
      <c r="B384" s="300">
        <f t="shared" si="46"/>
        <v>350</v>
      </c>
      <c r="C384" s="192" t="s">
        <v>1022</v>
      </c>
      <c r="D384" s="299" t="s">
        <v>1490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7"/>
    </row>
    <row r="385" spans="1:13" ht="18.75" customHeight="1">
      <c r="A385" s="287" t="str">
        <f t="shared" si="45"/>
        <v>TP</v>
      </c>
      <c r="B385" s="300">
        <f t="shared" si="46"/>
        <v>351</v>
      </c>
      <c r="C385" s="192" t="s">
        <v>640</v>
      </c>
      <c r="D385" s="299" t="s">
        <v>1490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7"/>
    </row>
    <row r="386" spans="1:13" ht="18.75" customHeight="1">
      <c r="A386" s="287" t="str">
        <f t="shared" si="45"/>
        <v>TP</v>
      </c>
      <c r="B386" s="300">
        <f t="shared" si="46"/>
        <v>352</v>
      </c>
      <c r="C386" s="40" t="s">
        <v>1399</v>
      </c>
      <c r="D386" s="299" t="s">
        <v>1490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7"/>
    </row>
    <row r="387" spans="1:13" ht="18.75" customHeight="1">
      <c r="A387" s="287" t="str">
        <f t="shared" si="45"/>
        <v>TP</v>
      </c>
      <c r="B387" s="300">
        <f t="shared" si="46"/>
        <v>353</v>
      </c>
      <c r="C387" s="40" t="s">
        <v>1101</v>
      </c>
      <c r="D387" s="299" t="s">
        <v>1490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7"/>
    </row>
    <row r="388" spans="1:13" ht="18.75" customHeight="1">
      <c r="A388" s="287" t="str">
        <f t="shared" si="45"/>
        <v>TP</v>
      </c>
      <c r="B388" s="300">
        <f t="shared" si="46"/>
        <v>354</v>
      </c>
      <c r="C388" s="40" t="s">
        <v>1536</v>
      </c>
      <c r="D388" s="299" t="s">
        <v>1490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7"/>
    </row>
    <row r="389" spans="1:13" ht="18.75" customHeight="1">
      <c r="A389" s="287" t="str">
        <f t="shared" si="45"/>
        <v>TP</v>
      </c>
      <c r="B389" s="300">
        <f t="shared" si="46"/>
        <v>355</v>
      </c>
      <c r="C389" s="40" t="s">
        <v>1415</v>
      </c>
      <c r="D389" s="299" t="s">
        <v>1490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7"/>
    </row>
    <row r="390" spans="1:13" ht="18.75" customHeight="1">
      <c r="A390" s="287" t="str">
        <f t="shared" si="45"/>
        <v>TP</v>
      </c>
      <c r="B390" s="300">
        <f t="shared" si="46"/>
        <v>356</v>
      </c>
      <c r="C390" s="192" t="s">
        <v>975</v>
      </c>
      <c r="D390" s="299" t="s">
        <v>1490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7"/>
    </row>
    <row r="391" spans="1:13" ht="18.75" customHeight="1">
      <c r="A391" s="287" t="str">
        <f t="shared" si="45"/>
        <v>TP</v>
      </c>
      <c r="B391" s="300">
        <f t="shared" si="46"/>
        <v>357</v>
      </c>
      <c r="C391" s="192" t="s">
        <v>1474</v>
      </c>
      <c r="D391" s="299" t="s">
        <v>1490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7"/>
    </row>
    <row r="392" spans="1:13" ht="18.75" customHeight="1">
      <c r="A392" s="287" t="str">
        <f t="shared" si="45"/>
        <v>TP</v>
      </c>
      <c r="B392" s="300">
        <f t="shared" si="46"/>
        <v>358</v>
      </c>
      <c r="C392" s="291" t="s">
        <v>1471</v>
      </c>
      <c r="D392" s="299" t="s">
        <v>1490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7"/>
    </row>
    <row r="393" spans="1:13" ht="18.75" customHeight="1">
      <c r="A393" s="287" t="str">
        <f t="shared" si="45"/>
        <v>TP</v>
      </c>
      <c r="B393" s="300">
        <f t="shared" si="46"/>
        <v>359</v>
      </c>
      <c r="C393" s="291" t="s">
        <v>1470</v>
      </c>
      <c r="D393" s="299" t="s">
        <v>1490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7"/>
    </row>
    <row r="394" spans="1:13" ht="18.75" customHeight="1">
      <c r="A394" s="287" t="str">
        <f t="shared" si="45"/>
        <v>TP</v>
      </c>
      <c r="B394" s="300">
        <f t="shared" si="46"/>
        <v>360</v>
      </c>
      <c r="C394" s="189" t="s">
        <v>1472</v>
      </c>
      <c r="D394" s="299" t="s">
        <v>1490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7"/>
    </row>
    <row r="395" spans="1:13" ht="18.75" customHeight="1">
      <c r="A395" s="287" t="str">
        <f t="shared" si="45"/>
        <v>TP</v>
      </c>
      <c r="B395" s="300">
        <f t="shared" si="46"/>
        <v>361</v>
      </c>
      <c r="C395" s="189" t="s">
        <v>1473</v>
      </c>
      <c r="D395" s="299" t="s">
        <v>1490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7"/>
    </row>
    <row r="396" spans="1:13" ht="18.75" customHeight="1">
      <c r="A396" s="287" t="str">
        <f t="shared" si="45"/>
        <v>TP</v>
      </c>
      <c r="B396" s="300">
        <f t="shared" si="46"/>
        <v>362</v>
      </c>
      <c r="C396" s="189" t="s">
        <v>1465</v>
      </c>
      <c r="D396" s="299" t="s">
        <v>1490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7"/>
    </row>
    <row r="397" spans="1:13" ht="18.75" customHeight="1">
      <c r="A397" s="287" t="str">
        <f t="shared" si="45"/>
        <v>TP</v>
      </c>
      <c r="B397" s="300">
        <f t="shared" si="46"/>
        <v>363</v>
      </c>
      <c r="C397" s="192" t="s">
        <v>1466</v>
      </c>
      <c r="D397" s="299" t="s">
        <v>1490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7"/>
    </row>
    <row r="398" spans="1:13" ht="18.75" customHeight="1">
      <c r="A398" s="287" t="str">
        <f t="shared" si="45"/>
        <v>TP</v>
      </c>
      <c r="B398" s="300">
        <f t="shared" si="46"/>
        <v>364</v>
      </c>
      <c r="C398" s="189" t="s">
        <v>1337</v>
      </c>
      <c r="D398" s="299" t="s">
        <v>1490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7"/>
    </row>
    <row r="399" spans="1:13" ht="18.75" customHeight="1">
      <c r="A399" s="287" t="str">
        <f t="shared" si="45"/>
        <v>TP</v>
      </c>
      <c r="B399" s="300">
        <f t="shared" si="46"/>
        <v>365</v>
      </c>
      <c r="C399" s="189" t="s">
        <v>1338</v>
      </c>
      <c r="D399" s="299" t="s">
        <v>1490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7"/>
    </row>
    <row r="400" spans="1:13" ht="18.75" customHeight="1">
      <c r="A400" s="287" t="str">
        <f t="shared" si="45"/>
        <v>TP</v>
      </c>
      <c r="B400" s="300">
        <f t="shared" si="46"/>
        <v>366</v>
      </c>
      <c r="C400" s="189" t="s">
        <v>1341</v>
      </c>
      <c r="D400" s="299" t="s">
        <v>1490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7"/>
    </row>
    <row r="401" spans="1:13" ht="18.75" customHeight="1">
      <c r="A401" s="287" t="str">
        <f t="shared" si="45"/>
        <v>TP</v>
      </c>
      <c r="B401" s="300">
        <f t="shared" si="46"/>
        <v>367</v>
      </c>
      <c r="C401" s="189" t="s">
        <v>1339</v>
      </c>
      <c r="D401" s="299" t="s">
        <v>1490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7"/>
    </row>
    <row r="402" spans="1:13" ht="18.75" customHeight="1">
      <c r="A402" s="287" t="str">
        <f t="shared" si="45"/>
        <v>TP</v>
      </c>
      <c r="B402" s="300">
        <f t="shared" si="46"/>
        <v>368</v>
      </c>
      <c r="C402" s="189" t="s">
        <v>1340</v>
      </c>
      <c r="D402" s="299" t="s">
        <v>1490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7"/>
    </row>
    <row r="403" spans="1:13" ht="18.75" customHeight="1">
      <c r="A403" s="287" t="str">
        <f t="shared" si="45"/>
        <v>TP</v>
      </c>
      <c r="B403" s="300">
        <f t="shared" si="46"/>
        <v>369</v>
      </c>
      <c r="C403" s="189" t="s">
        <v>1467</v>
      </c>
      <c r="D403" s="299" t="s">
        <v>1490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7"/>
    </row>
    <row r="404" spans="1:13" ht="18.75" customHeight="1">
      <c r="A404" s="287" t="str">
        <f t="shared" si="45"/>
        <v>TP</v>
      </c>
      <c r="B404" s="300">
        <f t="shared" si="46"/>
        <v>370</v>
      </c>
      <c r="C404" s="192" t="s">
        <v>1477</v>
      </c>
      <c r="D404" s="299" t="s">
        <v>1490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7"/>
    </row>
    <row r="405" spans="1:13" ht="18.75" customHeight="1">
      <c r="A405" s="287" t="str">
        <f t="shared" si="45"/>
        <v>TP</v>
      </c>
      <c r="B405" s="300">
        <f t="shared" si="46"/>
        <v>371</v>
      </c>
      <c r="C405" s="40" t="s">
        <v>1478</v>
      </c>
      <c r="D405" s="299" t="s">
        <v>1490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7"/>
    </row>
    <row r="406" spans="1:13" ht="18.75" customHeight="1">
      <c r="A406" s="287" t="str">
        <f t="shared" si="45"/>
        <v>TP</v>
      </c>
      <c r="B406" s="300">
        <f t="shared" si="46"/>
        <v>372</v>
      </c>
      <c r="C406" s="192" t="s">
        <v>1469</v>
      </c>
      <c r="D406" s="299" t="s">
        <v>1490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7"/>
    </row>
    <row r="407" spans="1:13" ht="18.75" customHeight="1">
      <c r="A407" s="287" t="str">
        <f t="shared" si="45"/>
        <v>TP</v>
      </c>
      <c r="B407" s="300">
        <f t="shared" si="46"/>
        <v>373</v>
      </c>
      <c r="C407" s="192" t="s">
        <v>1468</v>
      </c>
      <c r="D407" s="299" t="s">
        <v>1490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7"/>
    </row>
    <row r="408" spans="1:13" ht="18.75" customHeight="1">
      <c r="A408" s="287" t="str">
        <f t="shared" ref="A408" si="47">IF(B408&lt;&gt;"","TP","")</f>
        <v/>
      </c>
      <c r="B408" s="300" t="str">
        <f t="shared" ref="B408" si="48">IF(C408&lt;&gt;"",B407+1,"")</f>
        <v/>
      </c>
      <c r="C408" s="291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7"/>
    </row>
    <row r="409" spans="1:13" ht="18.75" customHeight="1">
      <c r="A409" s="287" t="str">
        <f t="shared" ref="A409" si="51">IF(B409&lt;&gt;"","TP","")</f>
        <v/>
      </c>
      <c r="B409" s="300" t="str">
        <f t="shared" ref="B409" si="52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7"/>
    </row>
    <row r="410" spans="1:13" ht="18.75" customHeight="1">
      <c r="A410" s="287" t="str">
        <f t="shared" ref="A410" si="53">IF(B410&lt;&gt;"","TP","")</f>
        <v/>
      </c>
      <c r="B410" s="300" t="str">
        <f t="shared" ref="B410" si="54">IF(C410&lt;&gt;"",B409+1,"")</f>
        <v/>
      </c>
      <c r="C410" s="40"/>
      <c r="D410" s="29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7"/>
    </row>
    <row r="411" spans="1:13" ht="18.75" customHeight="1">
      <c r="A411" s="287"/>
      <c r="B411" s="300"/>
      <c r="C411" s="40"/>
      <c r="D411" s="299"/>
      <c r="E411" s="8"/>
      <c r="F411" s="8"/>
      <c r="G411" s="25"/>
      <c r="H411" s="25"/>
      <c r="I411" s="25"/>
      <c r="J411" s="25"/>
      <c r="K411" s="8"/>
      <c r="L411" s="8"/>
      <c r="M411" s="287"/>
    </row>
    <row r="412" spans="1:13" ht="19.5" customHeight="1">
      <c r="A412" s="287" t="str">
        <f t="shared" ref="A412" si="57">IF(B412&lt;&gt;"","TP","")</f>
        <v/>
      </c>
      <c r="B412" s="908"/>
      <c r="C412" s="295" t="s">
        <v>200</v>
      </c>
      <c r="D412" s="908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7"/>
    </row>
    <row r="413" spans="1:13" ht="18.75" customHeight="1">
      <c r="A413" s="287"/>
      <c r="B413" s="448"/>
      <c r="C413" s="448"/>
      <c r="D413" s="447"/>
      <c r="E413" s="449"/>
      <c r="F413" s="449">
        <f>F412-CDPS!C23</f>
        <v>0</v>
      </c>
      <c r="G413" s="449"/>
      <c r="H413" s="449">
        <f>H412-CDPS!E23</f>
        <v>0</v>
      </c>
      <c r="I413" s="449"/>
      <c r="J413" s="449">
        <f>J412-CDPS!F23</f>
        <v>0</v>
      </c>
      <c r="K413" s="449"/>
      <c r="L413" s="449">
        <f>L412-CDPS!H23</f>
        <v>0</v>
      </c>
      <c r="M413" s="301"/>
    </row>
    <row r="414" spans="1:13" ht="18.75" customHeight="1"/>
    <row r="415" spans="1:13" ht="19.5" customHeight="1"/>
    <row r="416" spans="1:13" ht="19.5" customHeight="1">
      <c r="C416" s="1053"/>
      <c r="D416" s="1053"/>
      <c r="E416" s="1053"/>
      <c r="F416" s="787"/>
      <c r="G416" s="787"/>
      <c r="H416" s="787"/>
      <c r="I416" s="787"/>
      <c r="J416" s="1053" t="s">
        <v>417</v>
      </c>
      <c r="K416" s="1053"/>
      <c r="L416" s="1053"/>
    </row>
    <row r="417" spans="3:12" ht="19.5" customHeight="1">
      <c r="C417" s="906"/>
      <c r="D417" s="906"/>
      <c r="E417" s="906"/>
      <c r="F417" s="1053"/>
      <c r="G417" s="1053"/>
      <c r="H417" s="1053"/>
      <c r="I417" s="787"/>
      <c r="J417" s="1053" t="s">
        <v>109</v>
      </c>
      <c r="K417" s="1053"/>
      <c r="L417" s="1053"/>
    </row>
    <row r="418" spans="3:12" ht="19.5" customHeight="1">
      <c r="C418" s="906"/>
      <c r="D418" s="906"/>
      <c r="E418" s="906"/>
      <c r="F418" s="1053"/>
      <c r="G418" s="1053"/>
      <c r="H418" s="1053"/>
      <c r="I418" s="285"/>
      <c r="J418" s="1053" t="s">
        <v>136</v>
      </c>
      <c r="K418" s="1053"/>
      <c r="L418" s="1053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3" customFormat="1" ht="12" customHeight="1">
      <c r="A2" s="632" t="str">
        <f>TH!A1</f>
        <v>Đơn vị: CÔNG TY TNHH SX TM KIM DUNG PHÁT</v>
      </c>
      <c r="G2" s="634" t="str">
        <f>+IF(LEFT($D$7,1)="N","Mẫu số 01 - VT","Mẫu số 02 - VT")</f>
        <v>Mẫu số 01 - VT</v>
      </c>
    </row>
    <row r="3" spans="1:17" s="633" customFormat="1" ht="12" customHeight="1">
      <c r="A3" s="63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4" t="s">
        <v>104</v>
      </c>
      <c r="O3" s="636"/>
      <c r="P3" s="637">
        <f>IF(J5="Quý I",1,IF(J5="Quý II",4,IF(J5="Quý III",7,IF(J5="Quý IV",10,""))))</f>
        <v>10</v>
      </c>
      <c r="Q3" s="637">
        <f>IF(J5="Quý I",3,IF(J5="Quý II",6,IF(J5="Quý III",9,IF(J5="Quý IV",12,""))))</f>
        <v>12</v>
      </c>
    </row>
    <row r="4" spans="1:17" s="63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8"/>
      <c r="M4" s="639"/>
      <c r="N4" s="634" t="s">
        <v>105</v>
      </c>
      <c r="O4" s="636"/>
    </row>
    <row r="5" spans="1:17" ht="18" customHeight="1" thickBot="1">
      <c r="D5" s="309" t="str">
        <f>+IF(LEFT($L$5,1)="N","PHIẾU NHẬP KHO","PHIẾU XUẤT KHO")</f>
        <v>PHIẾU NHẬP KHO</v>
      </c>
      <c r="J5" s="629" t="s">
        <v>1500</v>
      </c>
      <c r="K5" s="310"/>
      <c r="L5" s="630" t="s">
        <v>1578</v>
      </c>
      <c r="M5" s="311"/>
      <c r="N5" s="631">
        <v>1</v>
      </c>
      <c r="O5" s="306"/>
      <c r="P5" s="306"/>
    </row>
    <row r="6" spans="1:17" ht="10.5" customHeight="1">
      <c r="D6" s="64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2"/>
      <c r="M6" s="308"/>
      <c r="O6" s="306"/>
    </row>
    <row r="7" spans="1:17" ht="10.5" customHeight="1">
      <c r="C7" s="643" t="str">
        <f xml:space="preserve"> "Số:"</f>
        <v>Số:</v>
      </c>
      <c r="D7" s="644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45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03" t="s">
        <v>35</v>
      </c>
      <c r="B14" s="1103" t="s">
        <v>201</v>
      </c>
      <c r="C14" s="1103" t="s">
        <v>202</v>
      </c>
      <c r="D14" s="1103" t="s">
        <v>193</v>
      </c>
      <c r="E14" s="1105" t="s">
        <v>203</v>
      </c>
      <c r="F14" s="1105"/>
      <c r="G14" s="1103" t="s">
        <v>204</v>
      </c>
      <c r="H14" s="1103" t="s">
        <v>205</v>
      </c>
    </row>
    <row r="15" spans="1:17" ht="12.75" customHeight="1">
      <c r="A15" s="1104"/>
      <c r="B15" s="1104"/>
      <c r="C15" s="1104"/>
      <c r="D15" s="1104"/>
      <c r="E15" s="646" t="s">
        <v>206</v>
      </c>
      <c r="F15" s="646" t="str">
        <f>IF(LEFT($D$7,1)="N","Thực nhập","Thực xuất")</f>
        <v>Thực nhập</v>
      </c>
      <c r="G15" s="1104"/>
      <c r="H15" s="1104"/>
    </row>
    <row r="16" spans="1:17" s="71" customFormat="1" ht="8.25" customHeight="1">
      <c r="A16" s="647" t="s">
        <v>2</v>
      </c>
      <c r="B16" s="647" t="s">
        <v>3</v>
      </c>
      <c r="C16" s="647" t="s">
        <v>4</v>
      </c>
      <c r="D16" s="647" t="s">
        <v>5</v>
      </c>
      <c r="E16" s="647">
        <v>1</v>
      </c>
      <c r="F16" s="647">
        <v>2</v>
      </c>
      <c r="G16" s="647">
        <v>3</v>
      </c>
      <c r="H16" s="647">
        <v>4</v>
      </c>
    </row>
    <row r="17" spans="1:8" ht="11.25" customHeight="1">
      <c r="A17" s="648">
        <f ca="1">IF(B17="","",ROW()-16)</f>
        <v>1</v>
      </c>
      <c r="B17" s="649" t="str">
        <f ca="1">IF(ROWS($1:1)&gt;COUNT(Dong10),"",OFFSET(TH!F$1,SMALL(Dong10,ROWS($1:1)),))</f>
        <v>Giấy nâu gia keo</v>
      </c>
      <c r="C17" s="650"/>
      <c r="D17" s="651" t="str">
        <f ca="1">IF(ISNA(VLOOKUP(B17,NXT!$C$12:$D$411,2,0)),"",VLOOKUP(B17,NXT!$C$12:$D$411,2,0))</f>
        <v>kg</v>
      </c>
      <c r="E17" s="652"/>
      <c r="F17" s="653">
        <f ca="1">IF(ROWS($1:1)&gt;COUNT(Dong10),"",OFFSET(TH!I$1,SMALL(Dong10,ROWS($1:1)),))</f>
        <v>1120</v>
      </c>
      <c r="G17" s="653">
        <f ca="1">IF(ROWS($1:1)&gt;COUNT(Dong10),"",OFFSET(TH!J$1,SMALL(Dong10,ROWS($1:1)),))</f>
        <v>8900</v>
      </c>
      <c r="H17" s="652">
        <f ca="1">IF(F17&lt;&gt;"",ROUND(F17*G17,0),0)</f>
        <v>9968000</v>
      </c>
    </row>
    <row r="18" spans="1:8" ht="11.25" customHeight="1">
      <c r="A18" s="648">
        <f t="shared" ref="A18:A20" ca="1" si="0">IF(B18="","",A17+1)</f>
        <v>2</v>
      </c>
      <c r="B18" s="649" t="str">
        <f ca="1">IF(ROWS($1:2)&gt;COUNT(Dong10),"",OFFSET(TH!F$1,SMALL(Dong10,ROWS($1:2)),))</f>
        <v>Giấy vàng gia keo</v>
      </c>
      <c r="C18" s="650"/>
      <c r="D18" s="651" t="str">
        <f ca="1">IF(ISNA(VLOOKUP(B18,NXT!$C$12:$D$411,2,0)),"",VLOOKUP(B18,NXT!$C$12:$D$411,2,0))</f>
        <v>kg</v>
      </c>
      <c r="E18" s="652"/>
      <c r="F18" s="653">
        <f ca="1">IF(ROWS($1:2)&gt;COUNT(Dong10),"",OFFSET(TH!I$1,SMALL(Dong10,ROWS($1:2)),))</f>
        <v>3458</v>
      </c>
      <c r="G18" s="653">
        <f ca="1">IF(ROWS($1:2)&gt;COUNT(Dong10),"",OFFSET(TH!J$1,SMALL(Dong10,ROWS($1:2)),))</f>
        <v>8900</v>
      </c>
      <c r="H18" s="652">
        <f t="shared" ref="H18:H24" ca="1" si="1">IF(F18&lt;&gt;"",ROUND(F18*G18,0),0)</f>
        <v>30776200</v>
      </c>
    </row>
    <row r="19" spans="1:8" ht="11.25" customHeight="1">
      <c r="A19" s="648" t="str">
        <f t="shared" ca="1" si="0"/>
        <v/>
      </c>
      <c r="B19" s="649" t="str">
        <f ca="1">IF(ROWS($1:3)&gt;COUNT(Dong10),"",OFFSET(TH!F$1,SMALL(Dong10,ROWS($1:3)),))</f>
        <v/>
      </c>
      <c r="C19" s="650"/>
      <c r="D19" s="651" t="str">
        <f ca="1">IF(ISNA(VLOOKUP(B19,NXT!$C$12:$D$411,2,0)),"",VLOOKUP(B19,NXT!$C$12:$D$411,2,0))</f>
        <v/>
      </c>
      <c r="E19" s="652"/>
      <c r="F19" s="653" t="str">
        <f ca="1">IF(ROWS($1:3)&gt;COUNT(Dong10),"",OFFSET(TH!I$1,SMALL(Dong10,ROWS($1:3)),))</f>
        <v/>
      </c>
      <c r="G19" s="653" t="str">
        <f ca="1">IF(ROWS($1:3)&gt;COUNT(Dong10),"",OFFSET(TH!J$1,SMALL(Dong10,ROWS($1:3)),))</f>
        <v/>
      </c>
      <c r="H19" s="652">
        <f t="shared" ca="1" si="1"/>
        <v>0</v>
      </c>
    </row>
    <row r="20" spans="1:8" ht="11.25" customHeight="1">
      <c r="A20" s="648" t="str">
        <f t="shared" ca="1" si="0"/>
        <v/>
      </c>
      <c r="B20" s="649" t="str">
        <f ca="1">IF(ROWS($1:4)&gt;COUNT(Dong10),"",OFFSET(TH!F$1,SMALL(Dong10,ROWS($1:4)),))</f>
        <v/>
      </c>
      <c r="C20" s="650"/>
      <c r="D20" s="651" t="str">
        <f ca="1">IF(ISNA(VLOOKUP(B20,NXT!$C$12:$D$411,2,0)),"",VLOOKUP(B20,NXT!$C$12:$D$411,2,0))</f>
        <v/>
      </c>
      <c r="E20" s="652"/>
      <c r="F20" s="653" t="str">
        <f ca="1">IF(ROWS($1:4)&gt;COUNT(Dong10),"",OFFSET(TH!I$1,SMALL(Dong10,ROWS($1:4)),))</f>
        <v/>
      </c>
      <c r="G20" s="653" t="str">
        <f ca="1">IF(ROWS($1:4)&gt;COUNT(Dong10),"",OFFSET(TH!J$1,SMALL(Dong10,ROWS($1:4)),))</f>
        <v/>
      </c>
      <c r="H20" s="652">
        <f t="shared" ca="1" si="1"/>
        <v>0</v>
      </c>
    </row>
    <row r="21" spans="1:8" ht="11.25" customHeight="1">
      <c r="A21" s="648" t="str">
        <f t="shared" ref="A21:A23" ca="1" si="2">IF(B21="","",A20+1)</f>
        <v/>
      </c>
      <c r="B21" s="649" t="str">
        <f ca="1">IF(ROWS($1:5)&gt;COUNT(Dong10),"",OFFSET(TH!F$1,SMALL(Dong10,ROWS($1:5)),))</f>
        <v/>
      </c>
      <c r="C21" s="650"/>
      <c r="D21" s="651" t="str">
        <f ca="1">IF(ISNA(VLOOKUP(B21,NXT!$C$12:$D$411,2,0)),"",VLOOKUP(B21,NXT!$C$12:$D$411,2,0))</f>
        <v/>
      </c>
      <c r="E21" s="652"/>
      <c r="F21" s="653" t="str">
        <f ca="1">IF(ROWS($1:5)&gt;COUNT(Dong10),"",OFFSET(TH!I$1,SMALL(Dong10,ROWS($1:5)),))</f>
        <v/>
      </c>
      <c r="G21" s="653" t="str">
        <f ca="1">IF(ROWS($1:5)&gt;COUNT(Dong10),"",OFFSET(TH!J$1,SMALL(Dong10,ROWS($1:5)),))</f>
        <v/>
      </c>
      <c r="H21" s="652">
        <f t="shared" ca="1" si="1"/>
        <v>0</v>
      </c>
    </row>
    <row r="22" spans="1:8" ht="11.25" customHeight="1">
      <c r="A22" s="648" t="str">
        <f t="shared" ca="1" si="2"/>
        <v/>
      </c>
      <c r="B22" s="649" t="str">
        <f ca="1">IF(ROWS($1:6)&gt;COUNT(Dong10),"",OFFSET(TH!F$1,SMALL(Dong10,ROWS($1:6)),))</f>
        <v/>
      </c>
      <c r="C22" s="650"/>
      <c r="D22" s="651" t="str">
        <f ca="1">IF(ISNA(VLOOKUP(B22,NXT!$C$12:$D$411,2,0)),"",VLOOKUP(B22,NXT!$C$12:$D$411,2,0))</f>
        <v/>
      </c>
      <c r="E22" s="652"/>
      <c r="F22" s="653" t="str">
        <f ca="1">IF(ROWS($1:6)&gt;COUNT(Dong10),"",OFFSET(TH!I$1,SMALL(Dong10,ROWS($1:6)),))</f>
        <v/>
      </c>
      <c r="G22" s="653" t="str">
        <f ca="1">IF(ROWS($1:6)&gt;COUNT(Dong10),"",OFFSET(TH!J$1,SMALL(Dong10,ROWS($1:6)),))</f>
        <v/>
      </c>
      <c r="H22" s="652">
        <f t="shared" ca="1" si="1"/>
        <v>0</v>
      </c>
    </row>
    <row r="23" spans="1:8" ht="11.25" customHeight="1">
      <c r="A23" s="648" t="str">
        <f t="shared" ca="1" si="2"/>
        <v/>
      </c>
      <c r="B23" s="649" t="str">
        <f ca="1">IF(ROWS($1:7)&gt;COUNT(Dong10),"",OFFSET(TH!F$1,SMALL(Dong10,ROWS($1:7)),))</f>
        <v/>
      </c>
      <c r="C23" s="650"/>
      <c r="D23" s="651" t="str">
        <f ca="1">IF(ISNA(VLOOKUP(B23,NXT!$C$12:$D$411,2,0)),"",VLOOKUP(B23,NXT!$C$12:$D$411,2,0))</f>
        <v/>
      </c>
      <c r="E23" s="652"/>
      <c r="F23" s="653" t="str">
        <f ca="1">IF(ROWS($1:7)&gt;COUNT(Dong10),"",OFFSET(TH!I$1,SMALL(Dong10,ROWS($1:7)),))</f>
        <v/>
      </c>
      <c r="G23" s="653" t="str">
        <f ca="1">IF(ROWS($1:7)&gt;COUNT(Dong10),"",OFFSET(TH!J$1,SMALL(Dong10,ROWS($1:7)),))</f>
        <v/>
      </c>
      <c r="H23" s="652">
        <f t="shared" ca="1" si="1"/>
        <v>0</v>
      </c>
    </row>
    <row r="24" spans="1:8" ht="11.25" customHeight="1">
      <c r="A24" s="648" t="str">
        <f t="shared" ref="A24" ca="1" si="3">IF(B24="","",A23+1)</f>
        <v/>
      </c>
      <c r="B24" s="649" t="str">
        <f ca="1">IF(ROWS($1:8)&gt;COUNT(Dong10),"",OFFSET(TH!F$1,SMALL(Dong10,ROWS($1:8)),))</f>
        <v/>
      </c>
      <c r="C24" s="650"/>
      <c r="D24" s="651" t="str">
        <f ca="1">IF(ISNA(VLOOKUP(B24,NXT!$C$12:$D$411,2,0)),"",VLOOKUP(B24,NXT!$C$12:$D$411,2,0))</f>
        <v/>
      </c>
      <c r="E24" s="652"/>
      <c r="F24" s="653" t="str">
        <f ca="1">IF(ROWS($1:8)&gt;COUNT(Dong10),"",OFFSET(TH!I$1,SMALL(Dong10,ROWS($1:8)),))</f>
        <v/>
      </c>
      <c r="G24" s="653" t="str">
        <f ca="1">IF(ROWS($1:8)&gt;COUNT(Dong10),"",OFFSET(TH!J$1,SMALL(Dong10,ROWS($1:8)),))</f>
        <v/>
      </c>
      <c r="H24" s="652">
        <f t="shared" ca="1" si="1"/>
        <v>0</v>
      </c>
    </row>
    <row r="25" spans="1:8" ht="11.25" customHeight="1">
      <c r="A25" s="648" t="str">
        <f t="shared" ref="A25" ca="1" si="4">IF(B25="","",A24+1)</f>
        <v/>
      </c>
      <c r="B25" s="649" t="str">
        <f ca="1">IF(ROWS($1:9)&gt;COUNT(Dong10),"",OFFSET(TH!F$1,SMALL(Dong10,ROWS($1:9)),))</f>
        <v/>
      </c>
      <c r="C25" s="650"/>
      <c r="D25" s="651" t="str">
        <f ca="1">IF(ISNA(VLOOKUP(B25,NXT!$C$12:$D$411,2,0)),"",VLOOKUP(B25,NXT!$C$12:$D$411,2,0))</f>
        <v/>
      </c>
      <c r="E25" s="652"/>
      <c r="F25" s="653" t="str">
        <f ca="1">IF(ROWS($1:9)&gt;COUNT(Dong10),"",OFFSET(TH!I$1,SMALL(Dong10,ROWS($1:9)),))</f>
        <v/>
      </c>
      <c r="G25" s="653" t="str">
        <f ca="1">IF(ROWS($1:9)&gt;COUNT(Dong10),"",OFFSET(TH!J$1,SMALL(Dong10,ROWS($1:9)),))</f>
        <v/>
      </c>
      <c r="H25" s="652">
        <f t="shared" ref="H25" ca="1" si="5">IF(F25&lt;&gt;"",ROUND(F25*G25,0),0)</f>
        <v>0</v>
      </c>
    </row>
    <row r="26" spans="1:8" ht="11.25" customHeight="1">
      <c r="A26" s="648" t="str">
        <f t="shared" ref="A26:A27" ca="1" si="6">IF(B26="","",A25+1)</f>
        <v/>
      </c>
      <c r="B26" s="649" t="str">
        <f ca="1">IF(ROWS($1:10)&gt;COUNT(Dong10),"",OFFSET(TH!F$1,SMALL(Dong10,ROWS($1:10)),))</f>
        <v/>
      </c>
      <c r="C26" s="650"/>
      <c r="D26" s="651" t="str">
        <f ca="1">IF(ISNA(VLOOKUP(B26,NXT!$C$12:$D$411,2,0)),"",VLOOKUP(B26,NXT!$C$12:$D$411,2,0))</f>
        <v/>
      </c>
      <c r="E26" s="652"/>
      <c r="F26" s="653" t="str">
        <f ca="1">IF(ROWS($1:10)&gt;COUNT(Dong10),"",OFFSET(TH!I$1,SMALL(Dong10,ROWS($1:10)),))</f>
        <v/>
      </c>
      <c r="G26" s="653" t="str">
        <f ca="1">IF(ROWS($1:10)&gt;COUNT(Dong10),"",OFFSET(TH!J$1,SMALL(Dong10,ROWS($1:10)),))</f>
        <v/>
      </c>
      <c r="H26" s="652">
        <f t="shared" ref="H26:H27" ca="1" si="7">IF(F26&lt;&gt;"",ROUND(F26*G26,0),0)</f>
        <v>0</v>
      </c>
    </row>
    <row r="27" spans="1:8" ht="11.25" customHeight="1">
      <c r="A27" s="648" t="str">
        <f t="shared" ca="1" si="6"/>
        <v/>
      </c>
      <c r="B27" s="649" t="str">
        <f ca="1">IF(ROWS($1:11)&gt;COUNT(Dong10),"",OFFSET(TH!F$1,SMALL(Dong10,ROWS($1:11)),))</f>
        <v/>
      </c>
      <c r="C27" s="650"/>
      <c r="D27" s="651" t="str">
        <f ca="1">IF(ISNA(VLOOKUP(B27,NXT!$C$12:$D$411,2,0)),"",VLOOKUP(B27,NXT!$C$12:$D$411,2,0))</f>
        <v/>
      </c>
      <c r="E27" s="652"/>
      <c r="F27" s="653" t="str">
        <f ca="1">IF(ROWS($1:11)&gt;COUNT(Dong10),"",OFFSET(TH!I$1,SMALL(Dong10,ROWS($1:11)),))</f>
        <v/>
      </c>
      <c r="G27" s="653" t="str">
        <f ca="1">IF(ROWS($1:11)&gt;COUNT(Dong10),"",OFFSET(TH!J$1,SMALL(Dong10,ROWS($1:11)),))</f>
        <v/>
      </c>
      <c r="H27" s="652">
        <f t="shared" ca="1" si="7"/>
        <v>0</v>
      </c>
    </row>
    <row r="28" spans="1:8" ht="11.25" customHeight="1">
      <c r="A28" s="1105" t="s">
        <v>207</v>
      </c>
      <c r="B28" s="1105"/>
      <c r="C28" s="654"/>
      <c r="D28" s="654"/>
      <c r="E28" s="655"/>
      <c r="F28" s="655"/>
      <c r="G28" s="655"/>
      <c r="H28" s="655">
        <f ca="1">SUM(H17:H27)</f>
        <v>40744200</v>
      </c>
    </row>
    <row r="29" spans="1:8" ht="3" customHeight="1">
      <c r="A29" s="656"/>
      <c r="B29" s="656"/>
      <c r="C29" s="308"/>
      <c r="D29" s="308"/>
      <c r="E29" s="657"/>
      <c r="F29" s="657"/>
      <c r="G29" s="657"/>
      <c r="H29" s="657"/>
    </row>
    <row r="30" spans="1:8" ht="11.25" customHeight="1">
      <c r="A30" s="305" t="str">
        <f ca="1">"Tổng số tiền (viết bằng chữ):  "&amp;[2]!VND(H28,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5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0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37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11" t="s">
        <v>211</v>
      </c>
      <c r="K2" s="1111"/>
      <c r="L2" s="1111"/>
      <c r="M2" s="1111"/>
      <c r="N2" s="939"/>
    </row>
    <row r="3" spans="1:17" s="435" customFormat="1" ht="16.5" customHeight="1">
      <c r="B3" s="582" t="str">
        <f>TH!A2</f>
        <v>Địa chỉ: 1A227/1 Ấp 1, Phạm Văn Hai, Bình Chánh, TPHCM</v>
      </c>
      <c r="C3" s="318"/>
      <c r="D3" s="318"/>
      <c r="E3" s="322"/>
      <c r="F3" s="318"/>
      <c r="J3" s="1112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2"/>
      <c r="L3" s="1112"/>
      <c r="M3" s="1112"/>
      <c r="N3" s="940"/>
    </row>
    <row r="4" spans="1:17" s="435" customFormat="1" ht="16.5" customHeight="1">
      <c r="B4" s="318"/>
      <c r="C4" s="318"/>
      <c r="D4" s="318"/>
      <c r="E4" s="322"/>
      <c r="F4" s="318"/>
      <c r="J4" s="1112"/>
      <c r="K4" s="1112"/>
      <c r="L4" s="1112"/>
      <c r="M4" s="1112"/>
      <c r="N4" s="940"/>
    </row>
    <row r="5" spans="1:17" ht="18.75" customHeight="1">
      <c r="B5" s="1113" t="s">
        <v>212</v>
      </c>
      <c r="C5" s="1113"/>
      <c r="D5" s="1113"/>
      <c r="E5" s="1113"/>
      <c r="F5" s="1113"/>
      <c r="G5" s="1113"/>
      <c r="H5" s="1113"/>
      <c r="I5" s="1113"/>
      <c r="J5" s="1113"/>
      <c r="K5" s="1113"/>
      <c r="L5" s="1113"/>
      <c r="M5" s="1113"/>
      <c r="N5" s="323"/>
    </row>
    <row r="6" spans="1:17" s="324" customFormat="1" ht="12.75">
      <c r="B6" s="1114" t="s">
        <v>213</v>
      </c>
      <c r="C6" s="1114"/>
      <c r="D6" s="1114"/>
      <c r="E6" s="1114"/>
      <c r="F6" s="1114"/>
      <c r="G6" s="1114"/>
      <c r="H6" s="1114"/>
      <c r="I6" s="1114"/>
      <c r="J6" s="1114"/>
      <c r="K6" s="1114"/>
      <c r="L6" s="1114"/>
      <c r="M6" s="1114"/>
      <c r="N6" s="941"/>
    </row>
    <row r="7" spans="1:17">
      <c r="C7" s="325"/>
      <c r="D7" s="325"/>
      <c r="F7" s="326" t="s">
        <v>274</v>
      </c>
      <c r="G7" s="937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37"/>
    </row>
    <row r="8" spans="1:17">
      <c r="B8" s="937"/>
      <c r="C8" s="325"/>
      <c r="D8" s="325"/>
      <c r="F8" s="937" t="s">
        <v>215</v>
      </c>
      <c r="H8" s="325"/>
      <c r="I8" s="325"/>
      <c r="J8" s="1115" t="s">
        <v>1453</v>
      </c>
      <c r="K8" s="1115"/>
      <c r="L8" s="1115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16" t="s">
        <v>35</v>
      </c>
      <c r="B10" s="1117" t="s">
        <v>1</v>
      </c>
      <c r="C10" s="1117"/>
      <c r="D10" s="1110" t="s">
        <v>0</v>
      </c>
      <c r="E10" s="1110" t="s">
        <v>216</v>
      </c>
      <c r="F10" s="1110" t="s">
        <v>204</v>
      </c>
      <c r="G10" s="1108" t="s">
        <v>217</v>
      </c>
      <c r="H10" s="1109"/>
      <c r="I10" s="1108" t="s">
        <v>218</v>
      </c>
      <c r="J10" s="1109"/>
      <c r="K10" s="1108" t="s">
        <v>219</v>
      </c>
      <c r="L10" s="1109"/>
      <c r="M10" s="1110" t="s">
        <v>127</v>
      </c>
      <c r="N10" s="331"/>
      <c r="O10" s="332" t="s">
        <v>210</v>
      </c>
    </row>
    <row r="11" spans="1:17" ht="31.5" customHeight="1">
      <c r="A11" s="1116"/>
      <c r="B11" s="333" t="s">
        <v>15</v>
      </c>
      <c r="C11" s="333" t="s">
        <v>32</v>
      </c>
      <c r="D11" s="1110"/>
      <c r="E11" s="1110"/>
      <c r="F11" s="1110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10"/>
      <c r="N11" s="331"/>
    </row>
    <row r="12" spans="1:17" s="937" customFormat="1">
      <c r="A12" s="334"/>
      <c r="B12" s="936" t="s">
        <v>2</v>
      </c>
      <c r="C12" s="938" t="s">
        <v>3</v>
      </c>
      <c r="D12" s="938" t="s">
        <v>4</v>
      </c>
      <c r="E12" s="936" t="s">
        <v>5</v>
      </c>
      <c r="F12" s="936">
        <v>1</v>
      </c>
      <c r="G12" s="936">
        <v>2</v>
      </c>
      <c r="H12" s="936" t="s">
        <v>221</v>
      </c>
      <c r="I12" s="936">
        <v>4</v>
      </c>
      <c r="J12" s="936" t="s">
        <v>222</v>
      </c>
      <c r="K12" s="936">
        <v>6</v>
      </c>
      <c r="L12" s="936" t="s">
        <v>223</v>
      </c>
      <c r="M12" s="936"/>
      <c r="N12" s="335"/>
    </row>
    <row r="13" spans="1:17">
      <c r="A13" s="336"/>
      <c r="B13" s="336"/>
      <c r="C13" s="336"/>
      <c r="D13" s="946" t="s">
        <v>144</v>
      </c>
      <c r="E13" s="338"/>
      <c r="F13" s="272"/>
      <c r="G13" s="272"/>
      <c r="H13" s="272"/>
      <c r="I13" s="272"/>
      <c r="J13" s="272"/>
      <c r="K13" s="947">
        <f>VLOOKUP($J$8,NXT!$C$12:$L$411,3,0)</f>
        <v>0</v>
      </c>
      <c r="L13" s="947">
        <f>VLOOKUP($J$8,NXT!$C$12:$L$411,4,0)</f>
        <v>0</v>
      </c>
      <c r="M13" s="272"/>
      <c r="N13" s="335"/>
    </row>
    <row r="14" spans="1:17">
      <c r="A14" s="312">
        <f ca="1">IF(B14="","",ROW()-13)</f>
        <v>1</v>
      </c>
      <c r="B14" s="948" t="str">
        <f ca="1">IF(ROWS($1:1)&gt;COUNT(Dong11),"",OFFSET(TH!D$1,SMALL(Dong11,ROWS($1:1)),))</f>
        <v>NL/N01</v>
      </c>
      <c r="C14" s="949">
        <f ca="1">IF(ROWS($1:1)&gt;COUNT(Dong11),"",OFFSET(TH!E$1,SMALL(Dong11,ROWS($1:1)),))</f>
        <v>42650</v>
      </c>
      <c r="D14" s="950" t="str">
        <f ca="1">IF(ROWS($1:1)&gt;COUNT(Dong11),"",OFFSET(TH!H$1,SMALL(Dong11,ROWS($1:1)),))</f>
        <v>DNTN Tiến Nam</v>
      </c>
      <c r="E14" s="948" t="str">
        <f ca="1">IF(ROWS($1:1)&gt;COUNT(Dong11),"",IF(OFFSET(TH!L$1,SMALL(Dong11,ROWS($1:1)),)=$G$7,OFFSET(TH!M$1,SMALL(Dong11,ROWS($1:1)),),OFFSET(TH!L$1,SMALL(Dong11,ROWS($1:1)),)))</f>
        <v>331</v>
      </c>
      <c r="F14" s="951">
        <f ca="1">IF(ROWS($1:1)&gt;COUNT(Dong11),0,OFFSET(TH!J$1,SMALL(Dong11,ROWS($1:1)),))</f>
        <v>8900</v>
      </c>
      <c r="G14" s="951">
        <f ca="1">IF(ROWS($1:1)&gt;COUNT(Dong11),0,IF(MID(OFFSET(TH!D$1,SMALL(Dong11,ROWS($1:1)),),4,1)="N",OFFSET(TH!I$1,SMALL(Dong11,ROWS($1:1)),),0))</f>
        <v>3458</v>
      </c>
      <c r="H14" s="952">
        <f t="shared" ref="H14:H45" ca="1" si="0">ROUND(F14*G14,0)</f>
        <v>30776200</v>
      </c>
      <c r="I14" s="951">
        <f ca="1">IF(ROWS($1:1)&gt;COUNT(Dong11),0,IF(MID(OFFSET(TH!D$1,SMALL(Dong11,ROWS($1:1)),),4,1)="X",OFFSET(TH!I$1,SMALL(Dong11,ROWS($1:1)),),0))</f>
        <v>0</v>
      </c>
      <c r="J14" s="952">
        <f t="shared" ref="J14:J45" ca="1" si="1">ROUND(F14*I14,0)</f>
        <v>0</v>
      </c>
      <c r="K14" s="952">
        <f t="shared" ref="K14:K45" ca="1" si="2">IF(D14&lt;&gt;"",K13+G14-I14,0)</f>
        <v>3458</v>
      </c>
      <c r="L14" s="952">
        <f t="shared" ref="L14:L45" ca="1" si="3">IF(D14&lt;&gt;"",L13+H14-J14,0)</f>
        <v>30776200</v>
      </c>
      <c r="M14" s="952"/>
      <c r="N14" s="335"/>
    </row>
    <row r="15" spans="1:17">
      <c r="A15" s="312" t="str">
        <f t="shared" ref="A15:A46" ca="1" si="4">IF(B15="","",A14+1)</f>
        <v/>
      </c>
      <c r="B15" s="948" t="str">
        <f ca="1">IF(ROWS($1:2)&gt;COUNT(Dong11),"",OFFSET(TH!D$1,SMALL(Dong11,ROWS($1:2)),))</f>
        <v/>
      </c>
      <c r="C15" s="949" t="str">
        <f ca="1">IF(ROWS($1:2)&gt;COUNT(Dong11),"",OFFSET(TH!E$1,SMALL(Dong11,ROWS($1:2)),))</f>
        <v/>
      </c>
      <c r="D15" s="950" t="str">
        <f ca="1">IF(ROWS($1:2)&gt;COUNT(Dong11),"",OFFSET(TH!H$1,SMALL(Dong11,ROWS($1:2)),))</f>
        <v/>
      </c>
      <c r="E15" s="948" t="str">
        <f ca="1">IF(ROWS($1:2)&gt;COUNT(Dong11),"",IF(OFFSET(TH!L$1,SMALL(Dong11,ROWS($1:2)),)=$G$7,OFFSET(TH!M$1,SMALL(Dong11,ROWS($1:2)),),OFFSET(TH!L$1,SMALL(Dong11,ROWS($1:2)),)))</f>
        <v/>
      </c>
      <c r="F15" s="951">
        <f ca="1">IF(ROWS($1:2)&gt;COUNT(Dong11),0,OFFSET(TH!J$1,SMALL(Dong11,ROWS($1:2)),))</f>
        <v>0</v>
      </c>
      <c r="G15" s="951">
        <f ca="1">IF(ROWS($1:2)&gt;COUNT(Dong11),0,IF(MID(OFFSET(TH!D$1,SMALL(Dong11,ROWS($1:2)),),4,1)="N",OFFSET(TH!I$1,SMALL(Dong11,ROWS($1:2)),),0))</f>
        <v>0</v>
      </c>
      <c r="H15" s="952">
        <f t="shared" ref="H15:H38" ca="1" si="5">ROUND(F15*G15,0)</f>
        <v>0</v>
      </c>
      <c r="I15" s="951">
        <f ca="1">IF(ROWS($1:2)&gt;COUNT(Dong11),0,IF(MID(OFFSET(TH!D$1,SMALL(Dong11,ROWS($1:2)),),4,1)="X",OFFSET(TH!I$1,SMALL(Dong11,ROWS($1:2)),),0))</f>
        <v>0</v>
      </c>
      <c r="J15" s="952">
        <f t="shared" ref="J15:J38" ca="1" si="6">ROUND(F15*I15,0)</f>
        <v>0</v>
      </c>
      <c r="K15" s="952">
        <f t="shared" ca="1" si="2"/>
        <v>0</v>
      </c>
      <c r="L15" s="952">
        <f t="shared" ca="1" si="3"/>
        <v>0</v>
      </c>
      <c r="M15" s="952"/>
      <c r="N15" s="335"/>
      <c r="Q15" s="953"/>
    </row>
    <row r="16" spans="1:17">
      <c r="A16" s="312" t="str">
        <f t="shared" ca="1" si="4"/>
        <v/>
      </c>
      <c r="B16" s="948" t="str">
        <f ca="1">IF(ROWS($1:3)&gt;COUNT(Dong11),"",OFFSET(TH!D$1,SMALL(Dong11,ROWS($1:3)),))</f>
        <v/>
      </c>
      <c r="C16" s="949" t="str">
        <f ca="1">IF(ROWS($1:3)&gt;COUNT(Dong11),"",OFFSET(TH!E$1,SMALL(Dong11,ROWS($1:3)),))</f>
        <v/>
      </c>
      <c r="D16" s="950" t="str">
        <f ca="1">IF(ROWS($1:3)&gt;COUNT(Dong11),"",OFFSET(TH!H$1,SMALL(Dong11,ROWS($1:3)),))</f>
        <v/>
      </c>
      <c r="E16" s="948" t="str">
        <f ca="1">IF(ROWS($1:3)&gt;COUNT(Dong11),"",IF(OFFSET(TH!L$1,SMALL(Dong11,ROWS($1:3)),)=$G$7,OFFSET(TH!M$1,SMALL(Dong11,ROWS($1:3)),),OFFSET(TH!L$1,SMALL(Dong11,ROWS($1:3)),)))</f>
        <v/>
      </c>
      <c r="F16" s="951">
        <f ca="1">IF(ROWS($1:3)&gt;COUNT(Dong11),0,OFFSET(TH!J$1,SMALL(Dong11,ROWS($1:3)),))</f>
        <v>0</v>
      </c>
      <c r="G16" s="951">
        <f ca="1">IF(ROWS($1:3)&gt;COUNT(Dong11),0,IF(MID(OFFSET(TH!D$1,SMALL(Dong11,ROWS($1:3)),),4,1)="N",OFFSET(TH!I$1,SMALL(Dong11,ROWS($1:3)),),0))</f>
        <v>0</v>
      </c>
      <c r="H16" s="952">
        <f t="shared" ca="1" si="5"/>
        <v>0</v>
      </c>
      <c r="I16" s="951">
        <f ca="1">IF(ROWS($1:3)&gt;COUNT(Dong11),0,IF(MID(OFFSET(TH!D$1,SMALL(Dong11,ROWS($1:3)),),4,1)="X",OFFSET(TH!I$1,SMALL(Dong11,ROWS($1:3)),),0))</f>
        <v>0</v>
      </c>
      <c r="J16" s="952">
        <f t="shared" ca="1" si="6"/>
        <v>0</v>
      </c>
      <c r="K16" s="952">
        <f t="shared" ca="1" si="2"/>
        <v>0</v>
      </c>
      <c r="L16" s="952">
        <f t="shared" ca="1" si="3"/>
        <v>0</v>
      </c>
      <c r="M16" s="952"/>
      <c r="N16" s="335"/>
    </row>
    <row r="17" spans="1:16">
      <c r="A17" s="312" t="str">
        <f t="shared" ca="1" si="4"/>
        <v/>
      </c>
      <c r="B17" s="948" t="str">
        <f ca="1">IF(ROWS($1:4)&gt;COUNT(Dong11),"",OFFSET(TH!D$1,SMALL(Dong11,ROWS($1:4)),))</f>
        <v/>
      </c>
      <c r="C17" s="949" t="str">
        <f ca="1">IF(ROWS($1:4)&gt;COUNT(Dong11),"",OFFSET(TH!E$1,SMALL(Dong11,ROWS($1:4)),))</f>
        <v/>
      </c>
      <c r="D17" s="950" t="str">
        <f ca="1">IF(ROWS($1:4)&gt;COUNT(Dong11),"",OFFSET(TH!H$1,SMALL(Dong11,ROWS($1:4)),))</f>
        <v/>
      </c>
      <c r="E17" s="948" t="str">
        <f ca="1">IF(ROWS($1:4)&gt;COUNT(Dong11),"",IF(OFFSET(TH!L$1,SMALL(Dong11,ROWS($1:4)),)=$G$7,OFFSET(TH!M$1,SMALL(Dong11,ROWS($1:4)),),OFFSET(TH!L$1,SMALL(Dong11,ROWS($1:4)),)))</f>
        <v/>
      </c>
      <c r="F17" s="951">
        <f ca="1">IF(ROWS($1:4)&gt;COUNT(Dong11),0,OFFSET(TH!J$1,SMALL(Dong11,ROWS($1:4)),))</f>
        <v>0</v>
      </c>
      <c r="G17" s="951">
        <f ca="1">IF(ROWS($1:4)&gt;COUNT(Dong11),0,IF(MID(OFFSET(TH!D$1,SMALL(Dong11,ROWS($1:4)),),4,1)="N",OFFSET(TH!I$1,SMALL(Dong11,ROWS($1:4)),),0))</f>
        <v>0</v>
      </c>
      <c r="H17" s="952">
        <f t="shared" ca="1" si="5"/>
        <v>0</v>
      </c>
      <c r="I17" s="951">
        <f ca="1">IF(ROWS($1:4)&gt;COUNT(Dong11),0,IF(MID(OFFSET(TH!D$1,SMALL(Dong11,ROWS($1:4)),),4,1)="X",OFFSET(TH!I$1,SMALL(Dong11,ROWS($1:4)),),0))</f>
        <v>0</v>
      </c>
      <c r="J17" s="952">
        <f t="shared" ca="1" si="6"/>
        <v>0</v>
      </c>
      <c r="K17" s="952">
        <f t="shared" ca="1" si="2"/>
        <v>0</v>
      </c>
      <c r="L17" s="952">
        <f t="shared" ca="1" si="3"/>
        <v>0</v>
      </c>
      <c r="M17" s="952"/>
      <c r="N17" s="335"/>
      <c r="P17" s="954"/>
    </row>
    <row r="18" spans="1:16">
      <c r="A18" s="312" t="str">
        <f t="shared" ca="1" si="4"/>
        <v/>
      </c>
      <c r="B18" s="948" t="str">
        <f ca="1">IF(ROWS($1:5)&gt;COUNT(Dong11),"",OFFSET(TH!D$1,SMALL(Dong11,ROWS($1:5)),))</f>
        <v/>
      </c>
      <c r="C18" s="949" t="str">
        <f ca="1">IF(ROWS($1:5)&gt;COUNT(Dong11),"",OFFSET(TH!E$1,SMALL(Dong11,ROWS($1:5)),))</f>
        <v/>
      </c>
      <c r="D18" s="950" t="str">
        <f ca="1">IF(ROWS($1:5)&gt;COUNT(Dong11),"",OFFSET(TH!H$1,SMALL(Dong11,ROWS($1:5)),))</f>
        <v/>
      </c>
      <c r="E18" s="948" t="str">
        <f ca="1">IF(ROWS($1:5)&gt;COUNT(Dong11),"",IF(OFFSET(TH!L$1,SMALL(Dong11,ROWS($1:5)),)=$G$7,OFFSET(TH!M$1,SMALL(Dong11,ROWS($1:5)),),OFFSET(TH!L$1,SMALL(Dong11,ROWS($1:5)),)))</f>
        <v/>
      </c>
      <c r="F18" s="951">
        <f ca="1">IF(ROWS($1:5)&gt;COUNT(Dong11),0,OFFSET(TH!J$1,SMALL(Dong11,ROWS($1:5)),))</f>
        <v>0</v>
      </c>
      <c r="G18" s="951">
        <f ca="1">IF(ROWS($1:5)&gt;COUNT(Dong11),0,IF(MID(OFFSET(TH!D$1,SMALL(Dong11,ROWS($1:5)),),4,1)="N",OFFSET(TH!I$1,SMALL(Dong11,ROWS($1:5)),),0))</f>
        <v>0</v>
      </c>
      <c r="H18" s="952">
        <f t="shared" ca="1" si="5"/>
        <v>0</v>
      </c>
      <c r="I18" s="951">
        <f ca="1">IF(ROWS($1:5)&gt;COUNT(Dong11),0,IF(MID(OFFSET(TH!D$1,SMALL(Dong11,ROWS($1:5)),),4,1)="X",OFFSET(TH!I$1,SMALL(Dong11,ROWS($1:5)),),0))</f>
        <v>0</v>
      </c>
      <c r="J18" s="952">
        <f t="shared" ca="1" si="6"/>
        <v>0</v>
      </c>
      <c r="K18" s="952">
        <f t="shared" ca="1" si="2"/>
        <v>0</v>
      </c>
      <c r="L18" s="952">
        <f t="shared" ca="1" si="3"/>
        <v>0</v>
      </c>
      <c r="M18" s="952"/>
      <c r="N18" s="335"/>
    </row>
    <row r="19" spans="1:16">
      <c r="A19" s="312" t="str">
        <f t="shared" ca="1" si="4"/>
        <v/>
      </c>
      <c r="B19" s="948" t="str">
        <f ca="1">IF(ROWS($1:6)&gt;COUNT(Dong11),"",OFFSET(TH!D$1,SMALL(Dong11,ROWS($1:6)),))</f>
        <v/>
      </c>
      <c r="C19" s="949" t="str">
        <f ca="1">IF(ROWS($1:6)&gt;COUNT(Dong11),"",OFFSET(TH!E$1,SMALL(Dong11,ROWS($1:6)),))</f>
        <v/>
      </c>
      <c r="D19" s="950" t="str">
        <f ca="1">IF(ROWS($1:6)&gt;COUNT(Dong11),"",OFFSET(TH!H$1,SMALL(Dong11,ROWS($1:6)),))</f>
        <v/>
      </c>
      <c r="E19" s="948" t="str">
        <f ca="1">IF(ROWS($1:6)&gt;COUNT(Dong11),"",IF(OFFSET(TH!L$1,SMALL(Dong11,ROWS($1:6)),)=$G$7,OFFSET(TH!M$1,SMALL(Dong11,ROWS($1:6)),),OFFSET(TH!L$1,SMALL(Dong11,ROWS($1:6)),)))</f>
        <v/>
      </c>
      <c r="F19" s="951">
        <f ca="1">IF(ROWS($1:6)&gt;COUNT(Dong11),0,OFFSET(TH!J$1,SMALL(Dong11,ROWS($1:6)),))</f>
        <v>0</v>
      </c>
      <c r="G19" s="951">
        <f ca="1">IF(ROWS($1:6)&gt;COUNT(Dong11),0,IF(MID(OFFSET(TH!D$1,SMALL(Dong11,ROWS($1:6)),),4,1)="N",OFFSET(TH!I$1,SMALL(Dong11,ROWS($1:6)),),0))</f>
        <v>0</v>
      </c>
      <c r="H19" s="952">
        <f t="shared" ca="1" si="5"/>
        <v>0</v>
      </c>
      <c r="I19" s="951">
        <f ca="1">IF(ROWS($1:6)&gt;COUNT(Dong11),0,IF(MID(OFFSET(TH!D$1,SMALL(Dong11,ROWS($1:6)),),4,1)="X",OFFSET(TH!I$1,SMALL(Dong11,ROWS($1:6)),),0))</f>
        <v>0</v>
      </c>
      <c r="J19" s="952">
        <f t="shared" ca="1" si="6"/>
        <v>0</v>
      </c>
      <c r="K19" s="952">
        <f t="shared" ca="1" si="2"/>
        <v>0</v>
      </c>
      <c r="L19" s="952">
        <f t="shared" ca="1" si="3"/>
        <v>0</v>
      </c>
      <c r="M19" s="952"/>
      <c r="N19" s="335"/>
    </row>
    <row r="20" spans="1:16">
      <c r="A20" s="312" t="str">
        <f t="shared" ca="1" si="4"/>
        <v/>
      </c>
      <c r="B20" s="948" t="str">
        <f ca="1">IF(ROWS($1:7)&gt;COUNT(Dong11),"",OFFSET(TH!D$1,SMALL(Dong11,ROWS($1:7)),))</f>
        <v/>
      </c>
      <c r="C20" s="949" t="str">
        <f ca="1">IF(ROWS($1:7)&gt;COUNT(Dong11),"",OFFSET(TH!E$1,SMALL(Dong11,ROWS($1:7)),))</f>
        <v/>
      </c>
      <c r="D20" s="950" t="str">
        <f ca="1">IF(ROWS($1:7)&gt;COUNT(Dong11),"",OFFSET(TH!H$1,SMALL(Dong11,ROWS($1:7)),))</f>
        <v/>
      </c>
      <c r="E20" s="948" t="str">
        <f ca="1">IF(ROWS($1:7)&gt;COUNT(Dong11),"",IF(OFFSET(TH!L$1,SMALL(Dong11,ROWS($1:7)),)=$G$7,OFFSET(TH!M$1,SMALL(Dong11,ROWS($1:7)),),OFFSET(TH!L$1,SMALL(Dong11,ROWS($1:7)),)))</f>
        <v/>
      </c>
      <c r="F20" s="951">
        <f ca="1">IF(ROWS($1:7)&gt;COUNT(Dong11),0,OFFSET(TH!J$1,SMALL(Dong11,ROWS($1:7)),))</f>
        <v>0</v>
      </c>
      <c r="G20" s="951">
        <f ca="1">IF(ROWS($1:7)&gt;COUNT(Dong11),0,IF(MID(OFFSET(TH!D$1,SMALL(Dong11,ROWS($1:7)),),4,1)="N",OFFSET(TH!I$1,SMALL(Dong11,ROWS($1:7)),),0))</f>
        <v>0</v>
      </c>
      <c r="H20" s="952">
        <f t="shared" ca="1" si="5"/>
        <v>0</v>
      </c>
      <c r="I20" s="951">
        <f ca="1">IF(ROWS($1:7)&gt;COUNT(Dong11),0,IF(MID(OFFSET(TH!D$1,SMALL(Dong11,ROWS($1:7)),),4,1)="X",OFFSET(TH!I$1,SMALL(Dong11,ROWS($1:7)),),0))</f>
        <v>0</v>
      </c>
      <c r="J20" s="952">
        <f t="shared" ca="1" si="6"/>
        <v>0</v>
      </c>
      <c r="K20" s="952">
        <f t="shared" ca="1" si="2"/>
        <v>0</v>
      </c>
      <c r="L20" s="952">
        <f t="shared" ca="1" si="3"/>
        <v>0</v>
      </c>
      <c r="M20" s="952"/>
      <c r="N20" s="335"/>
    </row>
    <row r="21" spans="1:16">
      <c r="A21" s="312" t="str">
        <f t="shared" ca="1" si="4"/>
        <v/>
      </c>
      <c r="B21" s="948" t="str">
        <f ca="1">IF(ROWS($1:8)&gt;COUNT(Dong11),"",OFFSET(TH!D$1,SMALL(Dong11,ROWS($1:8)),))</f>
        <v/>
      </c>
      <c r="C21" s="949" t="str">
        <f ca="1">IF(ROWS($1:8)&gt;COUNT(Dong11),"",OFFSET(TH!E$1,SMALL(Dong11,ROWS($1:8)),))</f>
        <v/>
      </c>
      <c r="D21" s="950" t="str">
        <f ca="1">IF(ROWS($1:8)&gt;COUNT(Dong11),"",OFFSET(TH!H$1,SMALL(Dong11,ROWS($1:8)),))</f>
        <v/>
      </c>
      <c r="E21" s="948" t="str">
        <f ca="1">IF(ROWS($1:8)&gt;COUNT(Dong11),"",IF(OFFSET(TH!L$1,SMALL(Dong11,ROWS($1:8)),)=$G$7,OFFSET(TH!M$1,SMALL(Dong11,ROWS($1:8)),),OFFSET(TH!L$1,SMALL(Dong11,ROWS($1:8)),)))</f>
        <v/>
      </c>
      <c r="F21" s="951">
        <f ca="1">IF(ROWS($1:8)&gt;COUNT(Dong11),0,OFFSET(TH!J$1,SMALL(Dong11,ROWS($1:8)),))</f>
        <v>0</v>
      </c>
      <c r="G21" s="951">
        <f ca="1">IF(ROWS($1:8)&gt;COUNT(Dong11),0,IF(MID(OFFSET(TH!D$1,SMALL(Dong11,ROWS($1:8)),),4,1)="N",OFFSET(TH!I$1,SMALL(Dong11,ROWS($1:8)),),0))</f>
        <v>0</v>
      </c>
      <c r="H21" s="952">
        <f t="shared" ca="1" si="5"/>
        <v>0</v>
      </c>
      <c r="I21" s="951">
        <f ca="1">IF(ROWS($1:8)&gt;COUNT(Dong11),0,IF(MID(OFFSET(TH!D$1,SMALL(Dong11,ROWS($1:8)),),4,1)="X",OFFSET(TH!I$1,SMALL(Dong11,ROWS($1:8)),),0))</f>
        <v>0</v>
      </c>
      <c r="J21" s="952">
        <f t="shared" ca="1" si="6"/>
        <v>0</v>
      </c>
      <c r="K21" s="952">
        <f t="shared" ca="1" si="2"/>
        <v>0</v>
      </c>
      <c r="L21" s="952">
        <f t="shared" ca="1" si="3"/>
        <v>0</v>
      </c>
      <c r="M21" s="952"/>
      <c r="N21" s="335"/>
    </row>
    <row r="22" spans="1:16">
      <c r="A22" s="312" t="str">
        <f t="shared" ca="1" si="4"/>
        <v/>
      </c>
      <c r="B22" s="948" t="str">
        <f ca="1">IF(ROWS($1:9)&gt;COUNT(Dong11),"",OFFSET(TH!D$1,SMALL(Dong11,ROWS($1:9)),))</f>
        <v/>
      </c>
      <c r="C22" s="949" t="str">
        <f ca="1">IF(ROWS($1:9)&gt;COUNT(Dong11),"",OFFSET(TH!E$1,SMALL(Dong11,ROWS($1:9)),))</f>
        <v/>
      </c>
      <c r="D22" s="950" t="str">
        <f ca="1">IF(ROWS($1:9)&gt;COUNT(Dong11),"",OFFSET(TH!H$1,SMALL(Dong11,ROWS($1:9)),))</f>
        <v/>
      </c>
      <c r="E22" s="948" t="str">
        <f ca="1">IF(ROWS($1:9)&gt;COUNT(Dong11),"",IF(OFFSET(TH!L$1,SMALL(Dong11,ROWS($1:9)),)=$G$7,OFFSET(TH!M$1,SMALL(Dong11,ROWS($1:9)),),OFFSET(TH!L$1,SMALL(Dong11,ROWS($1:9)),)))</f>
        <v/>
      </c>
      <c r="F22" s="951">
        <f ca="1">IF(ROWS($1:9)&gt;COUNT(Dong11),0,OFFSET(TH!J$1,SMALL(Dong11,ROWS($1:9)),))</f>
        <v>0</v>
      </c>
      <c r="G22" s="951">
        <f ca="1">IF(ROWS($1:9)&gt;COUNT(Dong11),0,IF(MID(OFFSET(TH!D$1,SMALL(Dong11,ROWS($1:9)),),4,1)="N",OFFSET(TH!I$1,SMALL(Dong11,ROWS($1:9)),),0))</f>
        <v>0</v>
      </c>
      <c r="H22" s="952">
        <f t="shared" ca="1" si="5"/>
        <v>0</v>
      </c>
      <c r="I22" s="951">
        <f ca="1">IF(ROWS($1:9)&gt;COUNT(Dong11),0,IF(MID(OFFSET(TH!D$1,SMALL(Dong11,ROWS($1:9)),),4,1)="X",OFFSET(TH!I$1,SMALL(Dong11,ROWS($1:9)),),0))</f>
        <v>0</v>
      </c>
      <c r="J22" s="952">
        <f t="shared" ca="1" si="6"/>
        <v>0</v>
      </c>
      <c r="K22" s="952">
        <f t="shared" ca="1" si="2"/>
        <v>0</v>
      </c>
      <c r="L22" s="952">
        <f t="shared" ca="1" si="3"/>
        <v>0</v>
      </c>
      <c r="M22" s="952"/>
      <c r="N22" s="335"/>
    </row>
    <row r="23" spans="1:16">
      <c r="A23" s="312" t="str">
        <f t="shared" ca="1" si="4"/>
        <v/>
      </c>
      <c r="B23" s="948" t="str">
        <f ca="1">IF(ROWS($1:10)&gt;COUNT(Dong11),"",OFFSET(TH!D$1,SMALL(Dong11,ROWS($1:10)),))</f>
        <v/>
      </c>
      <c r="C23" s="949" t="str">
        <f ca="1">IF(ROWS($1:10)&gt;COUNT(Dong11),"",OFFSET(TH!E$1,SMALL(Dong11,ROWS($1:10)),))</f>
        <v/>
      </c>
      <c r="D23" s="950" t="str">
        <f ca="1">IF(ROWS($1:10)&gt;COUNT(Dong11),"",OFFSET(TH!H$1,SMALL(Dong11,ROWS($1:10)),))</f>
        <v/>
      </c>
      <c r="E23" s="948" t="str">
        <f ca="1">IF(ROWS($1:10)&gt;COUNT(Dong11),"",IF(OFFSET(TH!L$1,SMALL(Dong11,ROWS($1:10)),)=$G$7,OFFSET(TH!M$1,SMALL(Dong11,ROWS($1:10)),),OFFSET(TH!L$1,SMALL(Dong11,ROWS($1:10)),)))</f>
        <v/>
      </c>
      <c r="F23" s="951">
        <f ca="1">IF(ROWS($1:10)&gt;COUNT(Dong11),0,OFFSET(TH!J$1,SMALL(Dong11,ROWS($1:10)),))</f>
        <v>0</v>
      </c>
      <c r="G23" s="951">
        <f ca="1">IF(ROWS($1:10)&gt;COUNT(Dong11),0,IF(MID(OFFSET(TH!D$1,SMALL(Dong11,ROWS($1:10)),),4,1)="N",OFFSET(TH!I$1,SMALL(Dong11,ROWS($1:10)),),0))</f>
        <v>0</v>
      </c>
      <c r="H23" s="952">
        <f t="shared" ca="1" si="5"/>
        <v>0</v>
      </c>
      <c r="I23" s="951">
        <f ca="1">IF(ROWS($1:10)&gt;COUNT(Dong11),0,IF(MID(OFFSET(TH!D$1,SMALL(Dong11,ROWS($1:10)),),4,1)="X",OFFSET(TH!I$1,SMALL(Dong11,ROWS($1:10)),),0))</f>
        <v>0</v>
      </c>
      <c r="J23" s="952">
        <f t="shared" ca="1" si="6"/>
        <v>0</v>
      </c>
      <c r="K23" s="952">
        <f t="shared" ca="1" si="2"/>
        <v>0</v>
      </c>
      <c r="L23" s="952">
        <f t="shared" ca="1" si="3"/>
        <v>0</v>
      </c>
      <c r="M23" s="952"/>
      <c r="N23" s="335"/>
    </row>
    <row r="24" spans="1:16">
      <c r="A24" s="312" t="str">
        <f t="shared" ca="1" si="4"/>
        <v/>
      </c>
      <c r="B24" s="948" t="str">
        <f ca="1">IF(ROWS($1:11)&gt;COUNT(Dong11),"",OFFSET(TH!D$1,SMALL(Dong11,ROWS($1:11)),))</f>
        <v/>
      </c>
      <c r="C24" s="949" t="str">
        <f ca="1">IF(ROWS($1:11)&gt;COUNT(Dong11),"",OFFSET(TH!E$1,SMALL(Dong11,ROWS($1:11)),))</f>
        <v/>
      </c>
      <c r="D24" s="950" t="str">
        <f ca="1">IF(ROWS($1:11)&gt;COUNT(Dong11),"",OFFSET(TH!H$1,SMALL(Dong11,ROWS($1:11)),))</f>
        <v/>
      </c>
      <c r="E24" s="948" t="str">
        <f ca="1">IF(ROWS($1:11)&gt;COUNT(Dong11),"",IF(OFFSET(TH!L$1,SMALL(Dong11,ROWS($1:11)),)=$G$7,OFFSET(TH!M$1,SMALL(Dong11,ROWS($1:11)),),OFFSET(TH!L$1,SMALL(Dong11,ROWS($1:11)),)))</f>
        <v/>
      </c>
      <c r="F24" s="951">
        <f ca="1">IF(ROWS($1:11)&gt;COUNT(Dong11),0,OFFSET(TH!J$1,SMALL(Dong11,ROWS($1:11)),))</f>
        <v>0</v>
      </c>
      <c r="G24" s="951">
        <f ca="1">IF(ROWS($1:11)&gt;COUNT(Dong11),0,IF(MID(OFFSET(TH!D$1,SMALL(Dong11,ROWS($1:11)),),4,1)="N",OFFSET(TH!I$1,SMALL(Dong11,ROWS($1:11)),),0))</f>
        <v>0</v>
      </c>
      <c r="H24" s="952">
        <f t="shared" ca="1" si="5"/>
        <v>0</v>
      </c>
      <c r="I24" s="951">
        <f ca="1">IF(ROWS($1:11)&gt;COUNT(Dong11),0,IF(MID(OFFSET(TH!D$1,SMALL(Dong11,ROWS($1:11)),),4,1)="X",OFFSET(TH!I$1,SMALL(Dong11,ROWS($1:11)),),0))</f>
        <v>0</v>
      </c>
      <c r="J24" s="952">
        <f t="shared" ca="1" si="6"/>
        <v>0</v>
      </c>
      <c r="K24" s="952">
        <f t="shared" ca="1" si="2"/>
        <v>0</v>
      </c>
      <c r="L24" s="952">
        <f t="shared" ca="1" si="3"/>
        <v>0</v>
      </c>
      <c r="M24" s="952"/>
      <c r="N24" s="335"/>
    </row>
    <row r="25" spans="1:16">
      <c r="A25" s="312" t="str">
        <f t="shared" ca="1" si="4"/>
        <v/>
      </c>
      <c r="B25" s="948" t="str">
        <f ca="1">IF(ROWS($1:12)&gt;COUNT(Dong11),"",OFFSET(TH!D$1,SMALL(Dong11,ROWS($1:12)),))</f>
        <v/>
      </c>
      <c r="C25" s="949" t="str">
        <f ca="1">IF(ROWS($1:12)&gt;COUNT(Dong11),"",OFFSET(TH!E$1,SMALL(Dong11,ROWS($1:12)),))</f>
        <v/>
      </c>
      <c r="D25" s="950" t="str">
        <f ca="1">IF(ROWS($1:12)&gt;COUNT(Dong11),"",OFFSET(TH!H$1,SMALL(Dong11,ROWS($1:12)),))</f>
        <v/>
      </c>
      <c r="E25" s="948" t="str">
        <f ca="1">IF(ROWS($1:12)&gt;COUNT(Dong11),"",IF(OFFSET(TH!L$1,SMALL(Dong11,ROWS($1:12)),)=$G$7,OFFSET(TH!M$1,SMALL(Dong11,ROWS($1:12)),),OFFSET(TH!L$1,SMALL(Dong11,ROWS($1:12)),)))</f>
        <v/>
      </c>
      <c r="F25" s="951">
        <f ca="1">IF(ROWS($1:12)&gt;COUNT(Dong11),0,OFFSET(TH!J$1,SMALL(Dong11,ROWS($1:12)),))</f>
        <v>0</v>
      </c>
      <c r="G25" s="951">
        <f ca="1">IF(ROWS($1:12)&gt;COUNT(Dong11),0,IF(MID(OFFSET(TH!D$1,SMALL(Dong11,ROWS($1:12)),),4,1)="N",OFFSET(TH!I$1,SMALL(Dong11,ROWS($1:12)),),0))</f>
        <v>0</v>
      </c>
      <c r="H25" s="952">
        <f t="shared" ca="1" si="5"/>
        <v>0</v>
      </c>
      <c r="I25" s="951">
        <f ca="1">IF(ROWS($1:12)&gt;COUNT(Dong11),0,IF(MID(OFFSET(TH!D$1,SMALL(Dong11,ROWS($1:12)),),4,1)="X",OFFSET(TH!I$1,SMALL(Dong11,ROWS($1:12)),),0))</f>
        <v>0</v>
      </c>
      <c r="J25" s="952">
        <f t="shared" ca="1" si="6"/>
        <v>0</v>
      </c>
      <c r="K25" s="952">
        <f t="shared" ca="1" si="2"/>
        <v>0</v>
      </c>
      <c r="L25" s="952">
        <f t="shared" ca="1" si="3"/>
        <v>0</v>
      </c>
      <c r="M25" s="952"/>
      <c r="N25" s="335"/>
    </row>
    <row r="26" spans="1:16">
      <c r="A26" s="312" t="str">
        <f t="shared" ca="1" si="4"/>
        <v/>
      </c>
      <c r="B26" s="948" t="str">
        <f ca="1">IF(ROWS($1:13)&gt;COUNT(Dong11),"",OFFSET(TH!D$1,SMALL(Dong11,ROWS($1:13)),))</f>
        <v/>
      </c>
      <c r="C26" s="949" t="str">
        <f ca="1">IF(ROWS($1:13)&gt;COUNT(Dong11),"",OFFSET(TH!E$1,SMALL(Dong11,ROWS($1:13)),))</f>
        <v/>
      </c>
      <c r="D26" s="950" t="str">
        <f ca="1">IF(ROWS($1:13)&gt;COUNT(Dong11),"",OFFSET(TH!H$1,SMALL(Dong11,ROWS($1:13)),))</f>
        <v/>
      </c>
      <c r="E26" s="948" t="str">
        <f ca="1">IF(ROWS($1:13)&gt;COUNT(Dong11),"",IF(OFFSET(TH!L$1,SMALL(Dong11,ROWS($1:13)),)=$G$7,OFFSET(TH!M$1,SMALL(Dong11,ROWS($1:13)),),OFFSET(TH!L$1,SMALL(Dong11,ROWS($1:13)),)))</f>
        <v/>
      </c>
      <c r="F26" s="951">
        <f ca="1">IF(ROWS($1:13)&gt;COUNT(Dong11),0,OFFSET(TH!J$1,SMALL(Dong11,ROWS($1:13)),))</f>
        <v>0</v>
      </c>
      <c r="G26" s="951">
        <f ca="1">IF(ROWS($1:13)&gt;COUNT(Dong11),0,IF(MID(OFFSET(TH!D$1,SMALL(Dong11,ROWS($1:13)),),4,1)="N",OFFSET(TH!I$1,SMALL(Dong11,ROWS($1:13)),),0))</f>
        <v>0</v>
      </c>
      <c r="H26" s="952">
        <f t="shared" ca="1" si="5"/>
        <v>0</v>
      </c>
      <c r="I26" s="951">
        <f ca="1">IF(ROWS($1:13)&gt;COUNT(Dong11),0,IF(MID(OFFSET(TH!D$1,SMALL(Dong11,ROWS($1:13)),),4,1)="X",OFFSET(TH!I$1,SMALL(Dong11,ROWS($1:13)),),0))</f>
        <v>0</v>
      </c>
      <c r="J26" s="952">
        <f t="shared" ca="1" si="6"/>
        <v>0</v>
      </c>
      <c r="K26" s="952">
        <f t="shared" ca="1" si="2"/>
        <v>0</v>
      </c>
      <c r="L26" s="952">
        <f t="shared" ca="1" si="3"/>
        <v>0</v>
      </c>
      <c r="M26" s="952"/>
      <c r="N26" s="335"/>
    </row>
    <row r="27" spans="1:16">
      <c r="A27" s="312" t="str">
        <f t="shared" ca="1" si="4"/>
        <v/>
      </c>
      <c r="B27" s="948" t="str">
        <f ca="1">IF(ROWS($1:14)&gt;COUNT(Dong11),"",OFFSET(TH!D$1,SMALL(Dong11,ROWS($1:14)),))</f>
        <v/>
      </c>
      <c r="C27" s="949" t="str">
        <f ca="1">IF(ROWS($1:14)&gt;COUNT(Dong11),"",OFFSET(TH!E$1,SMALL(Dong11,ROWS($1:14)),))</f>
        <v/>
      </c>
      <c r="D27" s="950" t="str">
        <f ca="1">IF(ROWS($1:14)&gt;COUNT(Dong11),"",OFFSET(TH!H$1,SMALL(Dong11,ROWS($1:14)),))</f>
        <v/>
      </c>
      <c r="E27" s="948" t="str">
        <f ca="1">IF(ROWS($1:14)&gt;COUNT(Dong11),"",IF(OFFSET(TH!L$1,SMALL(Dong11,ROWS($1:14)),)=$G$7,OFFSET(TH!M$1,SMALL(Dong11,ROWS($1:14)),),OFFSET(TH!L$1,SMALL(Dong11,ROWS($1:14)),)))</f>
        <v/>
      </c>
      <c r="F27" s="951">
        <f ca="1">IF(ROWS($1:14)&gt;COUNT(Dong11),0,OFFSET(TH!J$1,SMALL(Dong11,ROWS($1:14)),))</f>
        <v>0</v>
      </c>
      <c r="G27" s="951">
        <f ca="1">IF(ROWS($1:14)&gt;COUNT(Dong11),0,IF(MID(OFFSET(TH!D$1,SMALL(Dong11,ROWS($1:14)),),4,1)="N",OFFSET(TH!I$1,SMALL(Dong11,ROWS($1:14)),),0))</f>
        <v>0</v>
      </c>
      <c r="H27" s="952">
        <f t="shared" ca="1" si="5"/>
        <v>0</v>
      </c>
      <c r="I27" s="951">
        <f ca="1">IF(ROWS($1:14)&gt;COUNT(Dong11),0,IF(MID(OFFSET(TH!D$1,SMALL(Dong11,ROWS($1:14)),),4,1)="X",OFFSET(TH!I$1,SMALL(Dong11,ROWS($1:14)),),0))</f>
        <v>0</v>
      </c>
      <c r="J27" s="952">
        <f t="shared" ca="1" si="6"/>
        <v>0</v>
      </c>
      <c r="K27" s="952">
        <f t="shared" ca="1" si="2"/>
        <v>0</v>
      </c>
      <c r="L27" s="952">
        <f t="shared" ca="1" si="3"/>
        <v>0</v>
      </c>
      <c r="M27" s="952"/>
      <c r="N27" s="335"/>
    </row>
    <row r="28" spans="1:16">
      <c r="A28" s="312" t="str">
        <f t="shared" ca="1" si="4"/>
        <v/>
      </c>
      <c r="B28" s="948" t="str">
        <f ca="1">IF(ROWS($1:15)&gt;COUNT(Dong11),"",OFFSET(TH!D$1,SMALL(Dong11,ROWS($1:15)),))</f>
        <v/>
      </c>
      <c r="C28" s="949" t="str">
        <f ca="1">IF(ROWS($1:15)&gt;COUNT(Dong11),"",OFFSET(TH!E$1,SMALL(Dong11,ROWS($1:15)),))</f>
        <v/>
      </c>
      <c r="D28" s="950" t="str">
        <f ca="1">IF(ROWS($1:15)&gt;COUNT(Dong11),"",OFFSET(TH!H$1,SMALL(Dong11,ROWS($1:15)),))</f>
        <v/>
      </c>
      <c r="E28" s="948" t="str">
        <f ca="1">IF(ROWS($1:15)&gt;COUNT(Dong11),"",IF(OFFSET(TH!L$1,SMALL(Dong11,ROWS($1:15)),)=$G$7,OFFSET(TH!M$1,SMALL(Dong11,ROWS($1:15)),),OFFSET(TH!L$1,SMALL(Dong11,ROWS($1:15)),)))</f>
        <v/>
      </c>
      <c r="F28" s="951">
        <f ca="1">IF(ROWS($1:15)&gt;COUNT(Dong11),0,OFFSET(TH!J$1,SMALL(Dong11,ROWS($1:15)),))</f>
        <v>0</v>
      </c>
      <c r="G28" s="951">
        <f ca="1">IF(ROWS($1:15)&gt;COUNT(Dong11),0,IF(MID(OFFSET(TH!D$1,SMALL(Dong11,ROWS($1:15)),),4,1)="N",OFFSET(TH!I$1,SMALL(Dong11,ROWS($1:15)),),0))</f>
        <v>0</v>
      </c>
      <c r="H28" s="952">
        <f t="shared" ca="1" si="5"/>
        <v>0</v>
      </c>
      <c r="I28" s="951">
        <f ca="1">IF(ROWS($1:15)&gt;COUNT(Dong11),0,IF(MID(OFFSET(TH!D$1,SMALL(Dong11,ROWS($1:15)),),4,1)="X",OFFSET(TH!I$1,SMALL(Dong11,ROWS($1:15)),),0))</f>
        <v>0</v>
      </c>
      <c r="J28" s="952">
        <f t="shared" ca="1" si="6"/>
        <v>0</v>
      </c>
      <c r="K28" s="952">
        <f t="shared" ca="1" si="2"/>
        <v>0</v>
      </c>
      <c r="L28" s="952">
        <f t="shared" ca="1" si="3"/>
        <v>0</v>
      </c>
      <c r="M28" s="952"/>
      <c r="N28" s="335"/>
    </row>
    <row r="29" spans="1:16">
      <c r="A29" s="312" t="str">
        <f t="shared" ca="1" si="4"/>
        <v/>
      </c>
      <c r="B29" s="948" t="str">
        <f ca="1">IF(ROWS($1:16)&gt;COUNT(Dong11),"",OFFSET(TH!D$1,SMALL(Dong11,ROWS($1:16)),))</f>
        <v/>
      </c>
      <c r="C29" s="949" t="str">
        <f ca="1">IF(ROWS($1:16)&gt;COUNT(Dong11),"",OFFSET(TH!E$1,SMALL(Dong11,ROWS($1:16)),))</f>
        <v/>
      </c>
      <c r="D29" s="950" t="str">
        <f ca="1">IF(ROWS($1:16)&gt;COUNT(Dong11),"",OFFSET(TH!H$1,SMALL(Dong11,ROWS($1:16)),))</f>
        <v/>
      </c>
      <c r="E29" s="948" t="str">
        <f ca="1">IF(ROWS($1:16)&gt;COUNT(Dong11),"",IF(OFFSET(TH!L$1,SMALL(Dong11,ROWS($1:16)),)=$G$7,OFFSET(TH!M$1,SMALL(Dong11,ROWS($1:16)),),OFFSET(TH!L$1,SMALL(Dong11,ROWS($1:16)),)))</f>
        <v/>
      </c>
      <c r="F29" s="951">
        <f ca="1">IF(ROWS($1:16)&gt;COUNT(Dong11),0,OFFSET(TH!J$1,SMALL(Dong11,ROWS($1:16)),))</f>
        <v>0</v>
      </c>
      <c r="G29" s="951">
        <f ca="1">IF(ROWS($1:16)&gt;COUNT(Dong11),0,IF(MID(OFFSET(TH!D$1,SMALL(Dong11,ROWS($1:16)),),4,1)="N",OFFSET(TH!I$1,SMALL(Dong11,ROWS($1:16)),),0))</f>
        <v>0</v>
      </c>
      <c r="H29" s="952">
        <f t="shared" ca="1" si="5"/>
        <v>0</v>
      </c>
      <c r="I29" s="951">
        <f ca="1">IF(ROWS($1:16)&gt;COUNT(Dong11),0,IF(MID(OFFSET(TH!D$1,SMALL(Dong11,ROWS($1:16)),),4,1)="X",OFFSET(TH!I$1,SMALL(Dong11,ROWS($1:16)),),0))</f>
        <v>0</v>
      </c>
      <c r="J29" s="952">
        <f t="shared" ca="1" si="6"/>
        <v>0</v>
      </c>
      <c r="K29" s="952">
        <f t="shared" ca="1" si="2"/>
        <v>0</v>
      </c>
      <c r="L29" s="952">
        <f t="shared" ca="1" si="3"/>
        <v>0</v>
      </c>
      <c r="M29" s="952"/>
      <c r="N29" s="335"/>
    </row>
    <row r="30" spans="1:16">
      <c r="A30" s="312" t="str">
        <f t="shared" ca="1" si="4"/>
        <v/>
      </c>
      <c r="B30" s="948" t="str">
        <f ca="1">IF(ROWS($1:17)&gt;COUNT(Dong11),"",OFFSET(TH!D$1,SMALL(Dong11,ROWS($1:17)),))</f>
        <v/>
      </c>
      <c r="C30" s="949" t="str">
        <f ca="1">IF(ROWS($1:17)&gt;COUNT(Dong11),"",OFFSET(TH!E$1,SMALL(Dong11,ROWS($1:17)),))</f>
        <v/>
      </c>
      <c r="D30" s="950" t="str">
        <f ca="1">IF(ROWS($1:17)&gt;COUNT(Dong11),"",OFFSET(TH!H$1,SMALL(Dong11,ROWS($1:17)),))</f>
        <v/>
      </c>
      <c r="E30" s="948" t="str">
        <f ca="1">IF(ROWS($1:17)&gt;COUNT(Dong11),"",IF(OFFSET(TH!L$1,SMALL(Dong11,ROWS($1:17)),)=$G$7,OFFSET(TH!M$1,SMALL(Dong11,ROWS($1:17)),),OFFSET(TH!L$1,SMALL(Dong11,ROWS($1:17)),)))</f>
        <v/>
      </c>
      <c r="F30" s="951">
        <f ca="1">IF(ROWS($1:17)&gt;COUNT(Dong11),0,OFFSET(TH!J$1,SMALL(Dong11,ROWS($1:17)),))</f>
        <v>0</v>
      </c>
      <c r="G30" s="951">
        <f ca="1">IF(ROWS($1:17)&gt;COUNT(Dong11),0,IF(MID(OFFSET(TH!D$1,SMALL(Dong11,ROWS($1:17)),),4,1)="N",OFFSET(TH!I$1,SMALL(Dong11,ROWS($1:17)),),0))</f>
        <v>0</v>
      </c>
      <c r="H30" s="952">
        <f t="shared" ca="1" si="5"/>
        <v>0</v>
      </c>
      <c r="I30" s="951">
        <f ca="1">IF(ROWS($1:17)&gt;COUNT(Dong11),0,IF(MID(OFFSET(TH!D$1,SMALL(Dong11,ROWS($1:17)),),4,1)="X",OFFSET(TH!I$1,SMALL(Dong11,ROWS($1:17)),),0))</f>
        <v>0</v>
      </c>
      <c r="J30" s="952">
        <f t="shared" ca="1" si="6"/>
        <v>0</v>
      </c>
      <c r="K30" s="952">
        <f t="shared" ca="1" si="2"/>
        <v>0</v>
      </c>
      <c r="L30" s="952">
        <f t="shared" ca="1" si="3"/>
        <v>0</v>
      </c>
      <c r="M30" s="952"/>
      <c r="N30" s="335"/>
    </row>
    <row r="31" spans="1:16">
      <c r="A31" s="312" t="str">
        <f t="shared" ca="1" si="4"/>
        <v/>
      </c>
      <c r="B31" s="948" t="str">
        <f ca="1">IF(ROWS($1:18)&gt;COUNT(Dong11),"",OFFSET(TH!D$1,SMALL(Dong11,ROWS($1:18)),))</f>
        <v/>
      </c>
      <c r="C31" s="949" t="str">
        <f ca="1">IF(ROWS($1:18)&gt;COUNT(Dong11),"",OFFSET(TH!E$1,SMALL(Dong11,ROWS($1:18)),))</f>
        <v/>
      </c>
      <c r="D31" s="950" t="str">
        <f ca="1">IF(ROWS($1:18)&gt;COUNT(Dong11),"",OFFSET(TH!H$1,SMALL(Dong11,ROWS($1:18)),))</f>
        <v/>
      </c>
      <c r="E31" s="948" t="str">
        <f ca="1">IF(ROWS($1:18)&gt;COUNT(Dong11),"",IF(OFFSET(TH!L$1,SMALL(Dong11,ROWS($1:18)),)=$G$7,OFFSET(TH!M$1,SMALL(Dong11,ROWS($1:18)),),OFFSET(TH!L$1,SMALL(Dong11,ROWS($1:18)),)))</f>
        <v/>
      </c>
      <c r="F31" s="951">
        <f ca="1">IF(ROWS($1:18)&gt;COUNT(Dong11),0,OFFSET(TH!J$1,SMALL(Dong11,ROWS($1:18)),))</f>
        <v>0</v>
      </c>
      <c r="G31" s="951">
        <f ca="1">IF(ROWS($1:18)&gt;COUNT(Dong11),0,IF(MID(OFFSET(TH!D$1,SMALL(Dong11,ROWS($1:18)),),4,1)="N",OFFSET(TH!I$1,SMALL(Dong11,ROWS($1:18)),),0))</f>
        <v>0</v>
      </c>
      <c r="H31" s="952">
        <f t="shared" ca="1" si="5"/>
        <v>0</v>
      </c>
      <c r="I31" s="951">
        <f ca="1">IF(ROWS($1:18)&gt;COUNT(Dong11),0,IF(MID(OFFSET(TH!D$1,SMALL(Dong11,ROWS($1:18)),),4,1)="X",OFFSET(TH!I$1,SMALL(Dong11,ROWS($1:18)),),0))</f>
        <v>0</v>
      </c>
      <c r="J31" s="952">
        <f t="shared" ca="1" si="6"/>
        <v>0</v>
      </c>
      <c r="K31" s="952">
        <f t="shared" ca="1" si="2"/>
        <v>0</v>
      </c>
      <c r="L31" s="952">
        <f t="shared" ca="1" si="3"/>
        <v>0</v>
      </c>
      <c r="M31" s="952"/>
      <c r="N31" s="335"/>
    </row>
    <row r="32" spans="1:16">
      <c r="A32" s="312" t="str">
        <f t="shared" ca="1" si="4"/>
        <v/>
      </c>
      <c r="B32" s="948" t="str">
        <f ca="1">IF(ROWS($1:19)&gt;COUNT(Dong11),"",OFFSET(TH!D$1,SMALL(Dong11,ROWS($1:19)),))</f>
        <v/>
      </c>
      <c r="C32" s="949" t="str">
        <f ca="1">IF(ROWS($1:19)&gt;COUNT(Dong11),"",OFFSET(TH!E$1,SMALL(Dong11,ROWS($1:19)),))</f>
        <v/>
      </c>
      <c r="D32" s="950" t="str">
        <f ca="1">IF(ROWS($1:19)&gt;COUNT(Dong11),"",OFFSET(TH!H$1,SMALL(Dong11,ROWS($1:19)),))</f>
        <v/>
      </c>
      <c r="E32" s="948" t="str">
        <f ca="1">IF(ROWS($1:19)&gt;COUNT(Dong11),"",IF(OFFSET(TH!L$1,SMALL(Dong11,ROWS($1:19)),)=$G$7,OFFSET(TH!M$1,SMALL(Dong11,ROWS($1:19)),),OFFSET(TH!L$1,SMALL(Dong11,ROWS($1:19)),)))</f>
        <v/>
      </c>
      <c r="F32" s="951">
        <f ca="1">IF(ROWS($1:19)&gt;COUNT(Dong11),0,OFFSET(TH!J$1,SMALL(Dong11,ROWS($1:19)),))</f>
        <v>0</v>
      </c>
      <c r="G32" s="951">
        <f ca="1">IF(ROWS($1:19)&gt;COUNT(Dong11),0,IF(MID(OFFSET(TH!D$1,SMALL(Dong11,ROWS($1:19)),),4,1)="N",OFFSET(TH!I$1,SMALL(Dong11,ROWS($1:19)),),0))</f>
        <v>0</v>
      </c>
      <c r="H32" s="952">
        <f t="shared" ca="1" si="5"/>
        <v>0</v>
      </c>
      <c r="I32" s="951">
        <f ca="1">IF(ROWS($1:19)&gt;COUNT(Dong11),0,IF(MID(OFFSET(TH!D$1,SMALL(Dong11,ROWS($1:19)),),4,1)="X",OFFSET(TH!I$1,SMALL(Dong11,ROWS($1:19)),),0))</f>
        <v>0</v>
      </c>
      <c r="J32" s="952">
        <f t="shared" ca="1" si="6"/>
        <v>0</v>
      </c>
      <c r="K32" s="952">
        <f t="shared" ca="1" si="2"/>
        <v>0</v>
      </c>
      <c r="L32" s="952">
        <f t="shared" ca="1" si="3"/>
        <v>0</v>
      </c>
      <c r="M32" s="952"/>
      <c r="N32" s="335"/>
    </row>
    <row r="33" spans="1:14">
      <c r="A33" s="312" t="str">
        <f t="shared" ca="1" si="4"/>
        <v/>
      </c>
      <c r="B33" s="948" t="str">
        <f ca="1">IF(ROWS($1:20)&gt;COUNT(Dong11),"",OFFSET(TH!D$1,SMALL(Dong11,ROWS($1:20)),))</f>
        <v/>
      </c>
      <c r="C33" s="949" t="str">
        <f ca="1">IF(ROWS($1:20)&gt;COUNT(Dong11),"",OFFSET(TH!E$1,SMALL(Dong11,ROWS($1:20)),))</f>
        <v/>
      </c>
      <c r="D33" s="950" t="str">
        <f ca="1">IF(ROWS($1:20)&gt;COUNT(Dong11),"",OFFSET(TH!H$1,SMALL(Dong11,ROWS($1:20)),))</f>
        <v/>
      </c>
      <c r="E33" s="948" t="str">
        <f ca="1">IF(ROWS($1:20)&gt;COUNT(Dong11),"",IF(OFFSET(TH!L$1,SMALL(Dong11,ROWS($1:20)),)=$G$7,OFFSET(TH!M$1,SMALL(Dong11,ROWS($1:20)),),OFFSET(TH!L$1,SMALL(Dong11,ROWS($1:20)),)))</f>
        <v/>
      </c>
      <c r="F33" s="951">
        <f ca="1">IF(ROWS($1:20)&gt;COUNT(Dong11),0,OFFSET(TH!J$1,SMALL(Dong11,ROWS($1:20)),))</f>
        <v>0</v>
      </c>
      <c r="G33" s="951">
        <f ca="1">IF(ROWS($1:20)&gt;COUNT(Dong11),0,IF(MID(OFFSET(TH!D$1,SMALL(Dong11,ROWS($1:20)),),4,1)="N",OFFSET(TH!I$1,SMALL(Dong11,ROWS($1:20)),),0))</f>
        <v>0</v>
      </c>
      <c r="H33" s="952">
        <f t="shared" ca="1" si="5"/>
        <v>0</v>
      </c>
      <c r="I33" s="951">
        <f ca="1">IF(ROWS($1:20)&gt;COUNT(Dong11),0,IF(MID(OFFSET(TH!D$1,SMALL(Dong11,ROWS($1:20)),),4,1)="X",OFFSET(TH!I$1,SMALL(Dong11,ROWS($1:20)),),0))</f>
        <v>0</v>
      </c>
      <c r="J33" s="952">
        <f t="shared" ca="1" si="6"/>
        <v>0</v>
      </c>
      <c r="K33" s="952">
        <f t="shared" ca="1" si="2"/>
        <v>0</v>
      </c>
      <c r="L33" s="952">
        <f t="shared" ca="1" si="3"/>
        <v>0</v>
      </c>
      <c r="M33" s="952"/>
      <c r="N33" s="335"/>
    </row>
    <row r="34" spans="1:14">
      <c r="A34" s="312" t="str">
        <f t="shared" ca="1" si="4"/>
        <v/>
      </c>
      <c r="B34" s="948" t="str">
        <f ca="1">IF(ROWS($1:21)&gt;COUNT(Dong11),"",OFFSET(TH!D$1,SMALL(Dong11,ROWS($1:21)),))</f>
        <v/>
      </c>
      <c r="C34" s="949" t="str">
        <f ca="1">IF(ROWS($1:21)&gt;COUNT(Dong11),"",OFFSET(TH!E$1,SMALL(Dong11,ROWS($1:21)),))</f>
        <v/>
      </c>
      <c r="D34" s="950" t="str">
        <f ca="1">IF(ROWS($1:21)&gt;COUNT(Dong11),"",OFFSET(TH!H$1,SMALL(Dong11,ROWS($1:21)),))</f>
        <v/>
      </c>
      <c r="E34" s="948" t="str">
        <f ca="1">IF(ROWS($1:21)&gt;COUNT(Dong11),"",IF(OFFSET(TH!L$1,SMALL(Dong11,ROWS($1:21)),)=$G$7,OFFSET(TH!M$1,SMALL(Dong11,ROWS($1:21)),),OFFSET(TH!L$1,SMALL(Dong11,ROWS($1:21)),)))</f>
        <v/>
      </c>
      <c r="F34" s="951">
        <f ca="1">IF(ROWS($1:21)&gt;COUNT(Dong11),0,OFFSET(TH!J$1,SMALL(Dong11,ROWS($1:21)),))</f>
        <v>0</v>
      </c>
      <c r="G34" s="951">
        <f ca="1">IF(ROWS($1:21)&gt;COUNT(Dong11),0,IF(MID(OFFSET(TH!D$1,SMALL(Dong11,ROWS($1:21)),),4,1)="N",OFFSET(TH!I$1,SMALL(Dong11,ROWS($1:21)),),0))</f>
        <v>0</v>
      </c>
      <c r="H34" s="952">
        <f t="shared" ca="1" si="5"/>
        <v>0</v>
      </c>
      <c r="I34" s="951">
        <f ca="1">IF(ROWS($1:21)&gt;COUNT(Dong11),0,IF(MID(OFFSET(TH!D$1,SMALL(Dong11,ROWS($1:21)),),4,1)="X",OFFSET(TH!I$1,SMALL(Dong11,ROWS($1:21)),),0))</f>
        <v>0</v>
      </c>
      <c r="J34" s="952">
        <f t="shared" ca="1" si="6"/>
        <v>0</v>
      </c>
      <c r="K34" s="952">
        <f t="shared" ca="1" si="2"/>
        <v>0</v>
      </c>
      <c r="L34" s="952">
        <f t="shared" ca="1" si="3"/>
        <v>0</v>
      </c>
      <c r="M34" s="952"/>
      <c r="N34" s="335"/>
    </row>
    <row r="35" spans="1:14">
      <c r="A35" s="312" t="str">
        <f t="shared" ca="1" si="4"/>
        <v/>
      </c>
      <c r="B35" s="948" t="str">
        <f ca="1">IF(ROWS($1:22)&gt;COUNT(Dong11),"",OFFSET(TH!D$1,SMALL(Dong11,ROWS($1:22)),))</f>
        <v/>
      </c>
      <c r="C35" s="949" t="str">
        <f ca="1">IF(ROWS($1:22)&gt;COUNT(Dong11),"",OFFSET(TH!E$1,SMALL(Dong11,ROWS($1:22)),))</f>
        <v/>
      </c>
      <c r="D35" s="950" t="str">
        <f ca="1">IF(ROWS($1:22)&gt;COUNT(Dong11),"",OFFSET(TH!H$1,SMALL(Dong11,ROWS($1:22)),))</f>
        <v/>
      </c>
      <c r="E35" s="948" t="str">
        <f ca="1">IF(ROWS($1:22)&gt;COUNT(Dong11),"",IF(OFFSET(TH!L$1,SMALL(Dong11,ROWS($1:22)),)=$G$7,OFFSET(TH!M$1,SMALL(Dong11,ROWS($1:22)),),OFFSET(TH!L$1,SMALL(Dong11,ROWS($1:22)),)))</f>
        <v/>
      </c>
      <c r="F35" s="951">
        <f ca="1">IF(ROWS($1:22)&gt;COUNT(Dong11),0,OFFSET(TH!J$1,SMALL(Dong11,ROWS($1:22)),))</f>
        <v>0</v>
      </c>
      <c r="G35" s="951">
        <f ca="1">IF(ROWS($1:22)&gt;COUNT(Dong11),0,IF(MID(OFFSET(TH!D$1,SMALL(Dong11,ROWS($1:22)),),4,1)="N",OFFSET(TH!I$1,SMALL(Dong11,ROWS($1:22)),),0))</f>
        <v>0</v>
      </c>
      <c r="H35" s="952">
        <f t="shared" ca="1" si="5"/>
        <v>0</v>
      </c>
      <c r="I35" s="951">
        <f ca="1">IF(ROWS($1:22)&gt;COUNT(Dong11),0,IF(MID(OFFSET(TH!D$1,SMALL(Dong11,ROWS($1:22)),),4,1)="X",OFFSET(TH!I$1,SMALL(Dong11,ROWS($1:22)),),0))</f>
        <v>0</v>
      </c>
      <c r="J35" s="952">
        <f t="shared" ca="1" si="6"/>
        <v>0</v>
      </c>
      <c r="K35" s="952">
        <f t="shared" ca="1" si="2"/>
        <v>0</v>
      </c>
      <c r="L35" s="952">
        <f t="shared" ca="1" si="3"/>
        <v>0</v>
      </c>
      <c r="M35" s="952"/>
      <c r="N35" s="335"/>
    </row>
    <row r="36" spans="1:14">
      <c r="A36" s="312" t="str">
        <f t="shared" ca="1" si="4"/>
        <v/>
      </c>
      <c r="B36" s="948" t="str">
        <f ca="1">IF(ROWS($1:23)&gt;COUNT(Dong11),"",OFFSET(TH!D$1,SMALL(Dong11,ROWS($1:23)),))</f>
        <v/>
      </c>
      <c r="C36" s="949" t="str">
        <f ca="1">IF(ROWS($1:23)&gt;COUNT(Dong11),"",OFFSET(TH!E$1,SMALL(Dong11,ROWS($1:23)),))</f>
        <v/>
      </c>
      <c r="D36" s="950" t="str">
        <f ca="1">IF(ROWS($1:23)&gt;COUNT(Dong11),"",OFFSET(TH!H$1,SMALL(Dong11,ROWS($1:23)),))</f>
        <v/>
      </c>
      <c r="E36" s="948" t="str">
        <f ca="1">IF(ROWS($1:23)&gt;COUNT(Dong11),"",IF(OFFSET(TH!L$1,SMALL(Dong11,ROWS($1:23)),)=$G$7,OFFSET(TH!M$1,SMALL(Dong11,ROWS($1:23)),),OFFSET(TH!L$1,SMALL(Dong11,ROWS($1:23)),)))</f>
        <v/>
      </c>
      <c r="F36" s="951">
        <f ca="1">IF(ROWS($1:23)&gt;COUNT(Dong11),0,OFFSET(TH!J$1,SMALL(Dong11,ROWS($1:23)),))</f>
        <v>0</v>
      </c>
      <c r="G36" s="951">
        <f ca="1">IF(ROWS($1:23)&gt;COUNT(Dong11),0,IF(MID(OFFSET(TH!D$1,SMALL(Dong11,ROWS($1:23)),),4,1)="N",OFFSET(TH!I$1,SMALL(Dong11,ROWS($1:23)),),0))</f>
        <v>0</v>
      </c>
      <c r="H36" s="952">
        <f t="shared" ca="1" si="5"/>
        <v>0</v>
      </c>
      <c r="I36" s="951">
        <f ca="1">IF(ROWS($1:23)&gt;COUNT(Dong11),0,IF(MID(OFFSET(TH!D$1,SMALL(Dong11,ROWS($1:23)),),4,1)="X",OFFSET(TH!I$1,SMALL(Dong11,ROWS($1:23)),),0))</f>
        <v>0</v>
      </c>
      <c r="J36" s="952">
        <f t="shared" ca="1" si="6"/>
        <v>0</v>
      </c>
      <c r="K36" s="952">
        <f t="shared" ca="1" si="2"/>
        <v>0</v>
      </c>
      <c r="L36" s="952">
        <f t="shared" ca="1" si="3"/>
        <v>0</v>
      </c>
      <c r="M36" s="952"/>
      <c r="N36" s="335"/>
    </row>
    <row r="37" spans="1:14">
      <c r="A37" s="312" t="str">
        <f t="shared" ca="1" si="4"/>
        <v/>
      </c>
      <c r="B37" s="948" t="str">
        <f ca="1">IF(ROWS($1:24)&gt;COUNT(Dong11),"",OFFSET(TH!D$1,SMALL(Dong11,ROWS($1:24)),))</f>
        <v/>
      </c>
      <c r="C37" s="949" t="str">
        <f ca="1">IF(ROWS($1:24)&gt;COUNT(Dong11),"",OFFSET(TH!E$1,SMALL(Dong11,ROWS($1:24)),))</f>
        <v/>
      </c>
      <c r="D37" s="950" t="str">
        <f ca="1">IF(ROWS($1:24)&gt;COUNT(Dong11),"",OFFSET(TH!H$1,SMALL(Dong11,ROWS($1:24)),))</f>
        <v/>
      </c>
      <c r="E37" s="948" t="str">
        <f ca="1">IF(ROWS($1:24)&gt;COUNT(Dong11),"",IF(OFFSET(TH!L$1,SMALL(Dong11,ROWS($1:24)),)=$G$7,OFFSET(TH!M$1,SMALL(Dong11,ROWS($1:24)),),OFFSET(TH!L$1,SMALL(Dong11,ROWS($1:24)),)))</f>
        <v/>
      </c>
      <c r="F37" s="951">
        <f ca="1">IF(ROWS($1:24)&gt;COUNT(Dong11),0,OFFSET(TH!J$1,SMALL(Dong11,ROWS($1:24)),))</f>
        <v>0</v>
      </c>
      <c r="G37" s="951">
        <f ca="1">IF(ROWS($1:24)&gt;COUNT(Dong11),0,IF(MID(OFFSET(TH!D$1,SMALL(Dong11,ROWS($1:24)),),4,1)="N",OFFSET(TH!I$1,SMALL(Dong11,ROWS($1:24)),),0))</f>
        <v>0</v>
      </c>
      <c r="H37" s="952">
        <f t="shared" ca="1" si="5"/>
        <v>0</v>
      </c>
      <c r="I37" s="951">
        <f ca="1">IF(ROWS($1:24)&gt;COUNT(Dong11),0,IF(MID(OFFSET(TH!D$1,SMALL(Dong11,ROWS($1:24)),),4,1)="X",OFFSET(TH!I$1,SMALL(Dong11,ROWS($1:24)),),0))</f>
        <v>0</v>
      </c>
      <c r="J37" s="952">
        <f t="shared" ca="1" si="6"/>
        <v>0</v>
      </c>
      <c r="K37" s="952">
        <f t="shared" ca="1" si="2"/>
        <v>0</v>
      </c>
      <c r="L37" s="952">
        <f t="shared" ca="1" si="3"/>
        <v>0</v>
      </c>
      <c r="M37" s="952"/>
      <c r="N37" s="335"/>
    </row>
    <row r="38" spans="1:14">
      <c r="A38" s="312" t="str">
        <f t="shared" ca="1" si="4"/>
        <v/>
      </c>
      <c r="B38" s="948" t="str">
        <f ca="1">IF(ROWS($1:25)&gt;COUNT(Dong11),"",OFFSET(TH!D$1,SMALL(Dong11,ROWS($1:25)),))</f>
        <v/>
      </c>
      <c r="C38" s="949" t="str">
        <f ca="1">IF(ROWS($1:25)&gt;COUNT(Dong11),"",OFFSET(TH!E$1,SMALL(Dong11,ROWS($1:25)),))</f>
        <v/>
      </c>
      <c r="D38" s="950" t="str">
        <f ca="1">IF(ROWS($1:25)&gt;COUNT(Dong11),"",OFFSET(TH!H$1,SMALL(Dong11,ROWS($1:25)),))</f>
        <v/>
      </c>
      <c r="E38" s="948" t="str">
        <f ca="1">IF(ROWS($1:25)&gt;COUNT(Dong11),"",IF(OFFSET(TH!L$1,SMALL(Dong11,ROWS($1:25)),)=$G$7,OFFSET(TH!M$1,SMALL(Dong11,ROWS($1:25)),),OFFSET(TH!L$1,SMALL(Dong11,ROWS($1:25)),)))</f>
        <v/>
      </c>
      <c r="F38" s="951">
        <f ca="1">IF(ROWS($1:25)&gt;COUNT(Dong11),0,OFFSET(TH!J$1,SMALL(Dong11,ROWS($1:25)),))</f>
        <v>0</v>
      </c>
      <c r="G38" s="951">
        <f ca="1">IF(ROWS($1:25)&gt;COUNT(Dong11),0,IF(MID(OFFSET(TH!D$1,SMALL(Dong11,ROWS($1:25)),),4,1)="N",OFFSET(TH!I$1,SMALL(Dong11,ROWS($1:25)),),0))</f>
        <v>0</v>
      </c>
      <c r="H38" s="952">
        <f t="shared" ca="1" si="5"/>
        <v>0</v>
      </c>
      <c r="I38" s="951">
        <f ca="1">IF(ROWS($1:25)&gt;COUNT(Dong11),0,IF(MID(OFFSET(TH!D$1,SMALL(Dong11,ROWS($1:25)),),4,1)="X",OFFSET(TH!I$1,SMALL(Dong11,ROWS($1:25)),),0))</f>
        <v>0</v>
      </c>
      <c r="J38" s="952">
        <f t="shared" ca="1" si="6"/>
        <v>0</v>
      </c>
      <c r="K38" s="952">
        <f t="shared" ca="1" si="2"/>
        <v>0</v>
      </c>
      <c r="L38" s="952">
        <f t="shared" ca="1" si="3"/>
        <v>0</v>
      </c>
      <c r="M38" s="952"/>
      <c r="N38" s="335"/>
    </row>
    <row r="39" spans="1:14">
      <c r="A39" s="312" t="str">
        <f t="shared" ca="1" si="4"/>
        <v/>
      </c>
      <c r="B39" s="948" t="str">
        <f ca="1">IF(ROWS($1:26)&gt;COUNT(Dong11),"",OFFSET(TH!D$1,SMALL(Dong11,ROWS($1:26)),))</f>
        <v/>
      </c>
      <c r="C39" s="949" t="str">
        <f ca="1">IF(ROWS($1:26)&gt;COUNT(Dong11),"",OFFSET(TH!E$1,SMALL(Dong11,ROWS($1:26)),))</f>
        <v/>
      </c>
      <c r="D39" s="950" t="str">
        <f ca="1">IF(ROWS($1:26)&gt;COUNT(Dong11),"",OFFSET(TH!H$1,SMALL(Dong11,ROWS($1:26)),))</f>
        <v/>
      </c>
      <c r="E39" s="948" t="str">
        <f ca="1">IF(ROWS($1:26)&gt;COUNT(Dong11),"",IF(OFFSET(TH!L$1,SMALL(Dong11,ROWS($1:26)),)=$G$7,OFFSET(TH!M$1,SMALL(Dong11,ROWS($1:26)),),OFFSET(TH!L$1,SMALL(Dong11,ROWS($1:26)),)))</f>
        <v/>
      </c>
      <c r="F39" s="951">
        <f ca="1">IF(ROWS($1:26)&gt;COUNT(Dong11),0,OFFSET(TH!J$1,SMALL(Dong11,ROWS($1:26)),))</f>
        <v>0</v>
      </c>
      <c r="G39" s="951">
        <f ca="1">IF(ROWS($1:26)&gt;COUNT(Dong11),0,IF(MID(OFFSET(TH!D$1,SMALL(Dong11,ROWS($1:26)),),4,1)="N",OFFSET(TH!I$1,SMALL(Dong11,ROWS($1:26)),),0))</f>
        <v>0</v>
      </c>
      <c r="H39" s="952">
        <f t="shared" ca="1" si="0"/>
        <v>0</v>
      </c>
      <c r="I39" s="951">
        <f ca="1">IF(ROWS($1:26)&gt;COUNT(Dong11),0,IF(MID(OFFSET(TH!D$1,SMALL(Dong11,ROWS($1:26)),),4,1)="X",OFFSET(TH!I$1,SMALL(Dong11,ROWS($1:26)),),0))</f>
        <v>0</v>
      </c>
      <c r="J39" s="952">
        <f t="shared" ca="1" si="1"/>
        <v>0</v>
      </c>
      <c r="K39" s="952">
        <f t="shared" ca="1" si="2"/>
        <v>0</v>
      </c>
      <c r="L39" s="952">
        <f t="shared" ca="1" si="3"/>
        <v>0</v>
      </c>
      <c r="M39" s="952"/>
      <c r="N39" s="335"/>
    </row>
    <row r="40" spans="1:14">
      <c r="A40" s="312" t="str">
        <f t="shared" ca="1" si="4"/>
        <v/>
      </c>
      <c r="B40" s="948" t="str">
        <f ca="1">IF(ROWS($1:27)&gt;COUNT(Dong11),"",OFFSET(TH!D$1,SMALL(Dong11,ROWS($1:27)),))</f>
        <v/>
      </c>
      <c r="C40" s="949" t="str">
        <f ca="1">IF(ROWS($1:27)&gt;COUNT(Dong11),"",OFFSET(TH!E$1,SMALL(Dong11,ROWS($1:27)),))</f>
        <v/>
      </c>
      <c r="D40" s="950" t="str">
        <f ca="1">IF(ROWS($1:27)&gt;COUNT(Dong11),"",OFFSET(TH!H$1,SMALL(Dong11,ROWS($1:27)),))</f>
        <v/>
      </c>
      <c r="E40" s="948" t="str">
        <f ca="1">IF(ROWS($1:27)&gt;COUNT(Dong11),"",IF(OFFSET(TH!L$1,SMALL(Dong11,ROWS($1:27)),)=$G$7,OFFSET(TH!M$1,SMALL(Dong11,ROWS($1:27)),),OFFSET(TH!L$1,SMALL(Dong11,ROWS($1:27)),)))</f>
        <v/>
      </c>
      <c r="F40" s="951">
        <f ca="1">IF(ROWS($1:27)&gt;COUNT(Dong11),0,OFFSET(TH!J$1,SMALL(Dong11,ROWS($1:27)),))</f>
        <v>0</v>
      </c>
      <c r="G40" s="951">
        <f ca="1">IF(ROWS($1:27)&gt;COUNT(Dong11),0,IF(MID(OFFSET(TH!D$1,SMALL(Dong11,ROWS($1:27)),),4,1)="N",OFFSET(TH!I$1,SMALL(Dong11,ROWS($1:27)),),0))</f>
        <v>0</v>
      </c>
      <c r="H40" s="952">
        <f t="shared" ca="1" si="0"/>
        <v>0</v>
      </c>
      <c r="I40" s="951">
        <f ca="1">IF(ROWS($1:27)&gt;COUNT(Dong11),0,IF(MID(OFFSET(TH!D$1,SMALL(Dong11,ROWS($1:27)),),4,1)="X",OFFSET(TH!I$1,SMALL(Dong11,ROWS($1:27)),),0))</f>
        <v>0</v>
      </c>
      <c r="J40" s="952">
        <f t="shared" ca="1" si="1"/>
        <v>0</v>
      </c>
      <c r="K40" s="952">
        <f t="shared" ca="1" si="2"/>
        <v>0</v>
      </c>
      <c r="L40" s="952">
        <f t="shared" ca="1" si="3"/>
        <v>0</v>
      </c>
      <c r="M40" s="952"/>
      <c r="N40" s="335"/>
    </row>
    <row r="41" spans="1:14">
      <c r="A41" s="312" t="str">
        <f t="shared" ca="1" si="4"/>
        <v/>
      </c>
      <c r="B41" s="948" t="str">
        <f ca="1">IF(ROWS($1:28)&gt;COUNT(Dong11),"",OFFSET(TH!D$1,SMALL(Dong11,ROWS($1:28)),))</f>
        <v/>
      </c>
      <c r="C41" s="949" t="str">
        <f ca="1">IF(ROWS($1:28)&gt;COUNT(Dong11),"",OFFSET(TH!E$1,SMALL(Dong11,ROWS($1:28)),))</f>
        <v/>
      </c>
      <c r="D41" s="950" t="str">
        <f ca="1">IF(ROWS($1:28)&gt;COUNT(Dong11),"",OFFSET(TH!H$1,SMALL(Dong11,ROWS($1:28)),))</f>
        <v/>
      </c>
      <c r="E41" s="948" t="str">
        <f ca="1">IF(ROWS($1:28)&gt;COUNT(Dong11),"",IF(OFFSET(TH!L$1,SMALL(Dong11,ROWS($1:28)),)=$G$7,OFFSET(TH!M$1,SMALL(Dong11,ROWS($1:28)),),OFFSET(TH!L$1,SMALL(Dong11,ROWS($1:28)),)))</f>
        <v/>
      </c>
      <c r="F41" s="951">
        <f ca="1">IF(ROWS($1:28)&gt;COUNT(Dong11),0,OFFSET(TH!J$1,SMALL(Dong11,ROWS($1:28)),))</f>
        <v>0</v>
      </c>
      <c r="G41" s="951">
        <f ca="1">IF(ROWS($1:28)&gt;COUNT(Dong11),0,IF(MID(OFFSET(TH!D$1,SMALL(Dong11,ROWS($1:28)),),4,1)="N",OFFSET(TH!I$1,SMALL(Dong11,ROWS($1:28)),),0))</f>
        <v>0</v>
      </c>
      <c r="H41" s="952">
        <f t="shared" ca="1" si="0"/>
        <v>0</v>
      </c>
      <c r="I41" s="951">
        <f ca="1">IF(ROWS($1:28)&gt;COUNT(Dong11),0,IF(MID(OFFSET(TH!D$1,SMALL(Dong11,ROWS($1:28)),),4,1)="X",OFFSET(TH!I$1,SMALL(Dong11,ROWS($1:28)),),0))</f>
        <v>0</v>
      </c>
      <c r="J41" s="952">
        <f t="shared" ca="1" si="1"/>
        <v>0</v>
      </c>
      <c r="K41" s="952">
        <f t="shared" ca="1" si="2"/>
        <v>0</v>
      </c>
      <c r="L41" s="952">
        <f t="shared" ca="1" si="3"/>
        <v>0</v>
      </c>
      <c r="M41" s="952"/>
      <c r="N41" s="335"/>
    </row>
    <row r="42" spans="1:14">
      <c r="A42" s="312" t="str">
        <f t="shared" ca="1" si="4"/>
        <v/>
      </c>
      <c r="B42" s="948" t="str">
        <f ca="1">IF(ROWS($1:29)&gt;COUNT(Dong11),"",OFFSET(TH!D$1,SMALL(Dong11,ROWS($1:29)),))</f>
        <v/>
      </c>
      <c r="C42" s="949" t="str">
        <f ca="1">IF(ROWS($1:29)&gt;COUNT(Dong11),"",OFFSET(TH!E$1,SMALL(Dong11,ROWS($1:29)),))</f>
        <v/>
      </c>
      <c r="D42" s="950" t="str">
        <f ca="1">IF(ROWS($1:29)&gt;COUNT(Dong11),"",OFFSET(TH!H$1,SMALL(Dong11,ROWS($1:29)),))</f>
        <v/>
      </c>
      <c r="E42" s="948" t="str">
        <f ca="1">IF(ROWS($1:29)&gt;COUNT(Dong11),"",IF(OFFSET(TH!L$1,SMALL(Dong11,ROWS($1:29)),)=$G$7,OFFSET(TH!M$1,SMALL(Dong11,ROWS($1:29)),),OFFSET(TH!L$1,SMALL(Dong11,ROWS($1:29)),)))</f>
        <v/>
      </c>
      <c r="F42" s="951">
        <f ca="1">IF(ROWS($1:29)&gt;COUNT(Dong11),0,OFFSET(TH!J$1,SMALL(Dong11,ROWS($1:29)),))</f>
        <v>0</v>
      </c>
      <c r="G42" s="951">
        <f ca="1">IF(ROWS($1:29)&gt;COUNT(Dong11),0,IF(MID(OFFSET(TH!D$1,SMALL(Dong11,ROWS($1:29)),),4,1)="N",OFFSET(TH!I$1,SMALL(Dong11,ROWS($1:29)),),0))</f>
        <v>0</v>
      </c>
      <c r="H42" s="952">
        <f t="shared" ca="1" si="0"/>
        <v>0</v>
      </c>
      <c r="I42" s="951">
        <f ca="1">IF(ROWS($1:29)&gt;COUNT(Dong11),0,IF(MID(OFFSET(TH!D$1,SMALL(Dong11,ROWS($1:29)),),4,1)="X",OFFSET(TH!I$1,SMALL(Dong11,ROWS($1:29)),),0))</f>
        <v>0</v>
      </c>
      <c r="J42" s="952">
        <f t="shared" ca="1" si="1"/>
        <v>0</v>
      </c>
      <c r="K42" s="952">
        <f t="shared" ca="1" si="2"/>
        <v>0</v>
      </c>
      <c r="L42" s="952">
        <f t="shared" ca="1" si="3"/>
        <v>0</v>
      </c>
      <c r="M42" s="952"/>
      <c r="N42" s="335"/>
    </row>
    <row r="43" spans="1:14">
      <c r="A43" s="312" t="str">
        <f t="shared" ca="1" si="4"/>
        <v/>
      </c>
      <c r="B43" s="948" t="str">
        <f ca="1">IF(ROWS($1:30)&gt;COUNT(Dong11),"",OFFSET(TH!D$1,SMALL(Dong11,ROWS($1:30)),))</f>
        <v/>
      </c>
      <c r="C43" s="949" t="str">
        <f ca="1">IF(ROWS($1:30)&gt;COUNT(Dong11),"",OFFSET(TH!E$1,SMALL(Dong11,ROWS($1:30)),))</f>
        <v/>
      </c>
      <c r="D43" s="950" t="str">
        <f ca="1">IF(ROWS($1:30)&gt;COUNT(Dong11),"",OFFSET(TH!H$1,SMALL(Dong11,ROWS($1:30)),))</f>
        <v/>
      </c>
      <c r="E43" s="948" t="str">
        <f ca="1">IF(ROWS($1:30)&gt;COUNT(Dong11),"",IF(OFFSET(TH!L$1,SMALL(Dong11,ROWS($1:30)),)=$G$7,OFFSET(TH!M$1,SMALL(Dong11,ROWS($1:30)),),OFFSET(TH!L$1,SMALL(Dong11,ROWS($1:30)),)))</f>
        <v/>
      </c>
      <c r="F43" s="951">
        <f ca="1">IF(ROWS($1:30)&gt;COUNT(Dong11),0,OFFSET(TH!J$1,SMALL(Dong11,ROWS($1:30)),))</f>
        <v>0</v>
      </c>
      <c r="G43" s="951">
        <f ca="1">IF(ROWS($1:30)&gt;COUNT(Dong11),0,IF(MID(OFFSET(TH!D$1,SMALL(Dong11,ROWS($1:30)),),4,1)="N",OFFSET(TH!I$1,SMALL(Dong11,ROWS($1:30)),),0))</f>
        <v>0</v>
      </c>
      <c r="H43" s="952">
        <f t="shared" ca="1" si="0"/>
        <v>0</v>
      </c>
      <c r="I43" s="951">
        <f ca="1">IF(ROWS($1:30)&gt;COUNT(Dong11),0,IF(MID(OFFSET(TH!D$1,SMALL(Dong11,ROWS($1:30)),),4,1)="X",OFFSET(TH!I$1,SMALL(Dong11,ROWS($1:30)),),0))</f>
        <v>0</v>
      </c>
      <c r="J43" s="952">
        <f t="shared" ca="1" si="1"/>
        <v>0</v>
      </c>
      <c r="K43" s="952">
        <f t="shared" ca="1" si="2"/>
        <v>0</v>
      </c>
      <c r="L43" s="952">
        <f t="shared" ca="1" si="3"/>
        <v>0</v>
      </c>
      <c r="M43" s="952"/>
      <c r="N43" s="335"/>
    </row>
    <row r="44" spans="1:14">
      <c r="A44" s="312" t="str">
        <f t="shared" ca="1" si="4"/>
        <v/>
      </c>
      <c r="B44" s="948" t="str">
        <f ca="1">IF(ROWS($1:31)&gt;COUNT(Dong11),"",OFFSET(TH!D$1,SMALL(Dong11,ROWS($1:31)),))</f>
        <v/>
      </c>
      <c r="C44" s="949" t="str">
        <f ca="1">IF(ROWS($1:31)&gt;COUNT(Dong11),"",OFFSET(TH!E$1,SMALL(Dong11,ROWS($1:31)),))</f>
        <v/>
      </c>
      <c r="D44" s="950" t="str">
        <f ca="1">IF(ROWS($1:31)&gt;COUNT(Dong11),"",OFFSET(TH!H$1,SMALL(Dong11,ROWS($1:31)),))</f>
        <v/>
      </c>
      <c r="E44" s="948" t="str">
        <f ca="1">IF(ROWS($1:31)&gt;COUNT(Dong11),"",IF(OFFSET(TH!L$1,SMALL(Dong11,ROWS($1:31)),)=$G$7,OFFSET(TH!M$1,SMALL(Dong11,ROWS($1:31)),),OFFSET(TH!L$1,SMALL(Dong11,ROWS($1:31)),)))</f>
        <v/>
      </c>
      <c r="F44" s="951">
        <f ca="1">IF(ROWS($1:31)&gt;COUNT(Dong11),0,OFFSET(TH!J$1,SMALL(Dong11,ROWS($1:31)),))</f>
        <v>0</v>
      </c>
      <c r="G44" s="951">
        <f ca="1">IF(ROWS($1:31)&gt;COUNT(Dong11),0,IF(MID(OFFSET(TH!D$1,SMALL(Dong11,ROWS($1:31)),),4,1)="N",OFFSET(TH!I$1,SMALL(Dong11,ROWS($1:31)),),0))</f>
        <v>0</v>
      </c>
      <c r="H44" s="952">
        <f t="shared" ca="1" si="0"/>
        <v>0</v>
      </c>
      <c r="I44" s="951">
        <f ca="1">IF(ROWS($1:31)&gt;COUNT(Dong11),0,IF(MID(OFFSET(TH!D$1,SMALL(Dong11,ROWS($1:31)),),4,1)="X",OFFSET(TH!I$1,SMALL(Dong11,ROWS($1:31)),),0))</f>
        <v>0</v>
      </c>
      <c r="J44" s="952">
        <f t="shared" ca="1" si="1"/>
        <v>0</v>
      </c>
      <c r="K44" s="952">
        <f t="shared" ca="1" si="2"/>
        <v>0</v>
      </c>
      <c r="L44" s="952">
        <f t="shared" ca="1" si="3"/>
        <v>0</v>
      </c>
      <c r="M44" s="952"/>
      <c r="N44" s="335"/>
    </row>
    <row r="45" spans="1:14">
      <c r="A45" s="312" t="str">
        <f t="shared" ca="1" si="4"/>
        <v/>
      </c>
      <c r="B45" s="948" t="str">
        <f ca="1">IF(ROWS($1:32)&gt;COUNT(Dong11),"",OFFSET(TH!D$1,SMALL(Dong11,ROWS($1:32)),))</f>
        <v/>
      </c>
      <c r="C45" s="949" t="str">
        <f ca="1">IF(ROWS($1:32)&gt;COUNT(Dong11),"",OFFSET(TH!E$1,SMALL(Dong11,ROWS($1:32)),))</f>
        <v/>
      </c>
      <c r="D45" s="950" t="str">
        <f ca="1">IF(ROWS($1:32)&gt;COUNT(Dong11),"",OFFSET(TH!H$1,SMALL(Dong11,ROWS($1:32)),))</f>
        <v/>
      </c>
      <c r="E45" s="948" t="str">
        <f ca="1">IF(ROWS($1:32)&gt;COUNT(Dong11),"",IF(OFFSET(TH!L$1,SMALL(Dong11,ROWS($1:32)),)=$G$7,OFFSET(TH!M$1,SMALL(Dong11,ROWS($1:32)),),OFFSET(TH!L$1,SMALL(Dong11,ROWS($1:32)),)))</f>
        <v/>
      </c>
      <c r="F45" s="951">
        <f ca="1">IF(ROWS($1:32)&gt;COUNT(Dong11),0,OFFSET(TH!J$1,SMALL(Dong11,ROWS($1:32)),))</f>
        <v>0</v>
      </c>
      <c r="G45" s="951">
        <f ca="1">IF(ROWS($1:32)&gt;COUNT(Dong11),0,IF(MID(OFFSET(TH!D$1,SMALL(Dong11,ROWS($1:32)),),4,1)="N",OFFSET(TH!I$1,SMALL(Dong11,ROWS($1:32)),),0))</f>
        <v>0</v>
      </c>
      <c r="H45" s="952">
        <f t="shared" ca="1" si="0"/>
        <v>0</v>
      </c>
      <c r="I45" s="951">
        <f ca="1">IF(ROWS($1:32)&gt;COUNT(Dong11),0,IF(MID(OFFSET(TH!D$1,SMALL(Dong11,ROWS($1:32)),),4,1)="X",OFFSET(TH!I$1,SMALL(Dong11,ROWS($1:32)),),0))</f>
        <v>0</v>
      </c>
      <c r="J45" s="952">
        <f t="shared" ca="1" si="1"/>
        <v>0</v>
      </c>
      <c r="K45" s="952">
        <f t="shared" ca="1" si="2"/>
        <v>0</v>
      </c>
      <c r="L45" s="952">
        <f t="shared" ca="1" si="3"/>
        <v>0</v>
      </c>
      <c r="M45" s="952"/>
      <c r="N45" s="335"/>
    </row>
    <row r="46" spans="1:14">
      <c r="A46" s="312" t="str">
        <f t="shared" ca="1" si="4"/>
        <v/>
      </c>
      <c r="B46" s="948" t="str">
        <f ca="1">IF(ROWS($1:33)&gt;COUNT(Dong11),"",OFFSET(TH!D$1,SMALL(Dong11,ROWS($1:33)),))</f>
        <v/>
      </c>
      <c r="C46" s="949" t="str">
        <f ca="1">IF(ROWS($1:33)&gt;COUNT(Dong11),"",OFFSET(TH!E$1,SMALL(Dong11,ROWS($1:33)),))</f>
        <v/>
      </c>
      <c r="D46" s="950" t="str">
        <f ca="1">IF(ROWS($1:33)&gt;COUNT(Dong11),"",OFFSET(TH!H$1,SMALL(Dong11,ROWS($1:33)),))</f>
        <v/>
      </c>
      <c r="E46" s="948" t="str">
        <f ca="1">IF(ROWS($1:33)&gt;COUNT(Dong11),"",IF(OFFSET(TH!L$1,SMALL(Dong11,ROWS($1:33)),)=$G$7,OFFSET(TH!M$1,SMALL(Dong11,ROWS($1:33)),),OFFSET(TH!L$1,SMALL(Dong11,ROWS($1:33)),)))</f>
        <v/>
      </c>
      <c r="F46" s="951">
        <f ca="1">IF(ROWS($1:33)&gt;COUNT(Dong11),0,OFFSET(TH!J$1,SMALL(Dong11,ROWS($1:33)),))</f>
        <v>0</v>
      </c>
      <c r="G46" s="951">
        <f ca="1">IF(ROWS($1:33)&gt;COUNT(Dong11),0,IF(MID(OFFSET(TH!D$1,SMALL(Dong11,ROWS($1:33)),),4,1)="N",OFFSET(TH!I$1,SMALL(Dong11,ROWS($1:33)),),0))</f>
        <v>0</v>
      </c>
      <c r="H46" s="952">
        <f t="shared" ref="H46:H72" ca="1" si="7">ROUND(F46*G46,0)</f>
        <v>0</v>
      </c>
      <c r="I46" s="951">
        <f ca="1">IF(ROWS($1:33)&gt;COUNT(Dong11),0,IF(MID(OFFSET(TH!D$1,SMALL(Dong11,ROWS($1:33)),),4,1)="X",OFFSET(TH!I$1,SMALL(Dong11,ROWS($1:33)),),0))</f>
        <v>0</v>
      </c>
      <c r="J46" s="952">
        <f t="shared" ref="J46:J72" ca="1" si="8">ROUND(F46*I46,0)</f>
        <v>0</v>
      </c>
      <c r="K46" s="952">
        <f t="shared" ref="K46:K72" ca="1" si="9">IF(D46&lt;&gt;"",K45+G46-I46,0)</f>
        <v>0</v>
      </c>
      <c r="L46" s="952">
        <f t="shared" ref="L46:L72" ca="1" si="10">IF(D46&lt;&gt;"",L45+H46-J46,0)</f>
        <v>0</v>
      </c>
      <c r="M46" s="952"/>
      <c r="N46" s="335"/>
    </row>
    <row r="47" spans="1:14">
      <c r="A47" s="312" t="str">
        <f t="shared" ref="A47:A72" ca="1" si="11">IF(B47="","",A46+1)</f>
        <v/>
      </c>
      <c r="B47" s="948" t="str">
        <f ca="1">IF(ROWS($1:34)&gt;COUNT(Dong11),"",OFFSET(TH!D$1,SMALL(Dong11,ROWS($1:34)),))</f>
        <v/>
      </c>
      <c r="C47" s="949" t="str">
        <f ca="1">IF(ROWS($1:34)&gt;COUNT(Dong11),"",OFFSET(TH!E$1,SMALL(Dong11,ROWS($1:34)),))</f>
        <v/>
      </c>
      <c r="D47" s="950" t="str">
        <f ca="1">IF(ROWS($1:34)&gt;COUNT(Dong11),"",OFFSET(TH!H$1,SMALL(Dong11,ROWS($1:34)),))</f>
        <v/>
      </c>
      <c r="E47" s="948" t="str">
        <f ca="1">IF(ROWS($1:34)&gt;COUNT(Dong11),"",IF(OFFSET(TH!L$1,SMALL(Dong11,ROWS($1:34)),)=$G$7,OFFSET(TH!M$1,SMALL(Dong11,ROWS($1:34)),),OFFSET(TH!L$1,SMALL(Dong11,ROWS($1:34)),)))</f>
        <v/>
      </c>
      <c r="F47" s="951">
        <f ca="1">IF(ROWS($1:34)&gt;COUNT(Dong11),0,OFFSET(TH!J$1,SMALL(Dong11,ROWS($1:34)),))</f>
        <v>0</v>
      </c>
      <c r="G47" s="951">
        <f ca="1">IF(ROWS($1:34)&gt;COUNT(Dong11),0,IF(MID(OFFSET(TH!D$1,SMALL(Dong11,ROWS($1:34)),),4,1)="N",OFFSET(TH!I$1,SMALL(Dong11,ROWS($1:34)),),0))</f>
        <v>0</v>
      </c>
      <c r="H47" s="952">
        <f t="shared" ca="1" si="7"/>
        <v>0</v>
      </c>
      <c r="I47" s="951">
        <f ca="1">IF(ROWS($1:34)&gt;COUNT(Dong11),0,IF(MID(OFFSET(TH!D$1,SMALL(Dong11,ROWS($1:34)),),4,1)="X",OFFSET(TH!I$1,SMALL(Dong11,ROWS($1:34)),),0))</f>
        <v>0</v>
      </c>
      <c r="J47" s="952">
        <f t="shared" ca="1" si="8"/>
        <v>0</v>
      </c>
      <c r="K47" s="952">
        <f t="shared" ca="1" si="9"/>
        <v>0</v>
      </c>
      <c r="L47" s="952">
        <f t="shared" ca="1" si="10"/>
        <v>0</v>
      </c>
      <c r="M47" s="952"/>
      <c r="N47" s="335"/>
    </row>
    <row r="48" spans="1:14">
      <c r="A48" s="312" t="str">
        <f t="shared" ca="1" si="11"/>
        <v/>
      </c>
      <c r="B48" s="948" t="str">
        <f ca="1">IF(ROWS($1:35)&gt;COUNT(Dong11),"",OFFSET(TH!D$1,SMALL(Dong11,ROWS($1:35)),))</f>
        <v/>
      </c>
      <c r="C48" s="949" t="str">
        <f ca="1">IF(ROWS($1:35)&gt;COUNT(Dong11),"",OFFSET(TH!E$1,SMALL(Dong11,ROWS($1:35)),))</f>
        <v/>
      </c>
      <c r="D48" s="950" t="str">
        <f ca="1">IF(ROWS($1:35)&gt;COUNT(Dong11),"",OFFSET(TH!H$1,SMALL(Dong11,ROWS($1:35)),))</f>
        <v/>
      </c>
      <c r="E48" s="948" t="str">
        <f ca="1">IF(ROWS($1:35)&gt;COUNT(Dong11),"",IF(OFFSET(TH!L$1,SMALL(Dong11,ROWS($1:35)),)=$G$7,OFFSET(TH!M$1,SMALL(Dong11,ROWS($1:35)),),OFFSET(TH!L$1,SMALL(Dong11,ROWS($1:35)),)))</f>
        <v/>
      </c>
      <c r="F48" s="951">
        <f ca="1">IF(ROWS($1:35)&gt;COUNT(Dong11),0,OFFSET(TH!J$1,SMALL(Dong11,ROWS($1:35)),))</f>
        <v>0</v>
      </c>
      <c r="G48" s="951">
        <f ca="1">IF(ROWS($1:35)&gt;COUNT(Dong11),0,IF(MID(OFFSET(TH!D$1,SMALL(Dong11,ROWS($1:35)),),4,1)="N",OFFSET(TH!I$1,SMALL(Dong11,ROWS($1:35)),),0))</f>
        <v>0</v>
      </c>
      <c r="H48" s="952">
        <f t="shared" ca="1" si="7"/>
        <v>0</v>
      </c>
      <c r="I48" s="951">
        <f ca="1">IF(ROWS($1:35)&gt;COUNT(Dong11),0,IF(MID(OFFSET(TH!D$1,SMALL(Dong11,ROWS($1:35)),),4,1)="X",OFFSET(TH!I$1,SMALL(Dong11,ROWS($1:35)),),0))</f>
        <v>0</v>
      </c>
      <c r="J48" s="952">
        <f t="shared" ca="1" si="8"/>
        <v>0</v>
      </c>
      <c r="K48" s="952">
        <f t="shared" ca="1" si="9"/>
        <v>0</v>
      </c>
      <c r="L48" s="952">
        <f t="shared" ca="1" si="10"/>
        <v>0</v>
      </c>
      <c r="M48" s="952"/>
      <c r="N48" s="335"/>
    </row>
    <row r="49" spans="1:14">
      <c r="A49" s="312" t="str">
        <f t="shared" ca="1" si="11"/>
        <v/>
      </c>
      <c r="B49" s="948" t="str">
        <f ca="1">IF(ROWS($1:36)&gt;COUNT(Dong11),"",OFFSET(TH!D$1,SMALL(Dong11,ROWS($1:36)),))</f>
        <v/>
      </c>
      <c r="C49" s="949" t="str">
        <f ca="1">IF(ROWS($1:36)&gt;COUNT(Dong11),"",OFFSET(TH!E$1,SMALL(Dong11,ROWS($1:36)),))</f>
        <v/>
      </c>
      <c r="D49" s="950" t="str">
        <f ca="1">IF(ROWS($1:36)&gt;COUNT(Dong11),"",OFFSET(TH!H$1,SMALL(Dong11,ROWS($1:36)),))</f>
        <v/>
      </c>
      <c r="E49" s="948" t="str">
        <f ca="1">IF(ROWS($1:36)&gt;COUNT(Dong11),"",IF(OFFSET(TH!L$1,SMALL(Dong11,ROWS($1:36)),)=$G$7,OFFSET(TH!M$1,SMALL(Dong11,ROWS($1:36)),),OFFSET(TH!L$1,SMALL(Dong11,ROWS($1:36)),)))</f>
        <v/>
      </c>
      <c r="F49" s="951">
        <f ca="1">IF(ROWS($1:36)&gt;COUNT(Dong11),0,OFFSET(TH!J$1,SMALL(Dong11,ROWS($1:36)),))</f>
        <v>0</v>
      </c>
      <c r="G49" s="951">
        <f ca="1">IF(ROWS($1:36)&gt;COUNT(Dong11),0,IF(MID(OFFSET(TH!D$1,SMALL(Dong11,ROWS($1:36)),),4,1)="N",OFFSET(TH!I$1,SMALL(Dong11,ROWS($1:36)),),0))</f>
        <v>0</v>
      </c>
      <c r="H49" s="952">
        <f t="shared" ca="1" si="7"/>
        <v>0</v>
      </c>
      <c r="I49" s="951">
        <f ca="1">IF(ROWS($1:36)&gt;COUNT(Dong11),0,IF(MID(OFFSET(TH!D$1,SMALL(Dong11,ROWS($1:36)),),4,1)="X",OFFSET(TH!I$1,SMALL(Dong11,ROWS($1:36)),),0))</f>
        <v>0</v>
      </c>
      <c r="J49" s="952">
        <f t="shared" ca="1" si="8"/>
        <v>0</v>
      </c>
      <c r="K49" s="952">
        <f t="shared" ca="1" si="9"/>
        <v>0</v>
      </c>
      <c r="L49" s="952">
        <f t="shared" ca="1" si="10"/>
        <v>0</v>
      </c>
      <c r="M49" s="952"/>
      <c r="N49" s="335"/>
    </row>
    <row r="50" spans="1:14">
      <c r="A50" s="312" t="str">
        <f t="shared" ca="1" si="11"/>
        <v/>
      </c>
      <c r="B50" s="948" t="str">
        <f ca="1">IF(ROWS($1:37)&gt;COUNT(Dong11),"",OFFSET(TH!D$1,SMALL(Dong11,ROWS($1:37)),))</f>
        <v/>
      </c>
      <c r="C50" s="949" t="str">
        <f ca="1">IF(ROWS($1:37)&gt;COUNT(Dong11),"",OFFSET(TH!E$1,SMALL(Dong11,ROWS($1:37)),))</f>
        <v/>
      </c>
      <c r="D50" s="950" t="str">
        <f ca="1">IF(ROWS($1:37)&gt;COUNT(Dong11),"",OFFSET(TH!H$1,SMALL(Dong11,ROWS($1:37)),))</f>
        <v/>
      </c>
      <c r="E50" s="948" t="str">
        <f ca="1">IF(ROWS($1:37)&gt;COUNT(Dong11),"",IF(OFFSET(TH!L$1,SMALL(Dong11,ROWS($1:37)),)=$G$7,OFFSET(TH!M$1,SMALL(Dong11,ROWS($1:37)),),OFFSET(TH!L$1,SMALL(Dong11,ROWS($1:37)),)))</f>
        <v/>
      </c>
      <c r="F50" s="951">
        <f ca="1">IF(ROWS($1:37)&gt;COUNT(Dong11),0,OFFSET(TH!J$1,SMALL(Dong11,ROWS($1:37)),))</f>
        <v>0</v>
      </c>
      <c r="G50" s="951">
        <f ca="1">IF(ROWS($1:37)&gt;COUNT(Dong11),0,IF(MID(OFFSET(TH!D$1,SMALL(Dong11,ROWS($1:37)),),4,1)="N",OFFSET(TH!I$1,SMALL(Dong11,ROWS($1:37)),),0))</f>
        <v>0</v>
      </c>
      <c r="H50" s="952">
        <f t="shared" ca="1" si="7"/>
        <v>0</v>
      </c>
      <c r="I50" s="951">
        <f ca="1">IF(ROWS($1:37)&gt;COUNT(Dong11),0,IF(MID(OFFSET(TH!D$1,SMALL(Dong11,ROWS($1:37)),),4,1)="X",OFFSET(TH!I$1,SMALL(Dong11,ROWS($1:37)),),0))</f>
        <v>0</v>
      </c>
      <c r="J50" s="952">
        <f t="shared" ca="1" si="8"/>
        <v>0</v>
      </c>
      <c r="K50" s="952">
        <f t="shared" ca="1" si="9"/>
        <v>0</v>
      </c>
      <c r="L50" s="952">
        <f t="shared" ca="1" si="10"/>
        <v>0</v>
      </c>
      <c r="M50" s="952"/>
      <c r="N50" s="335"/>
    </row>
    <row r="51" spans="1:14">
      <c r="A51" s="312" t="str">
        <f t="shared" ca="1" si="11"/>
        <v/>
      </c>
      <c r="B51" s="948" t="str">
        <f ca="1">IF(ROWS($1:38)&gt;COUNT(Dong11),"",OFFSET(TH!D$1,SMALL(Dong11,ROWS($1:38)),))</f>
        <v/>
      </c>
      <c r="C51" s="949" t="str">
        <f ca="1">IF(ROWS($1:38)&gt;COUNT(Dong11),"",OFFSET(TH!E$1,SMALL(Dong11,ROWS($1:38)),))</f>
        <v/>
      </c>
      <c r="D51" s="950" t="str">
        <f ca="1">IF(ROWS($1:38)&gt;COUNT(Dong11),"",OFFSET(TH!H$1,SMALL(Dong11,ROWS($1:38)),))</f>
        <v/>
      </c>
      <c r="E51" s="948" t="str">
        <f ca="1">IF(ROWS($1:38)&gt;COUNT(Dong11),"",IF(OFFSET(TH!L$1,SMALL(Dong11,ROWS($1:38)),)=$G$7,OFFSET(TH!M$1,SMALL(Dong11,ROWS($1:38)),),OFFSET(TH!L$1,SMALL(Dong11,ROWS($1:38)),)))</f>
        <v/>
      </c>
      <c r="F51" s="951">
        <f ca="1">IF(ROWS($1:38)&gt;COUNT(Dong11),0,OFFSET(TH!J$1,SMALL(Dong11,ROWS($1:38)),))</f>
        <v>0</v>
      </c>
      <c r="G51" s="951">
        <f ca="1">IF(ROWS($1:38)&gt;COUNT(Dong11),0,IF(MID(OFFSET(TH!D$1,SMALL(Dong11,ROWS($1:38)),),4,1)="N",OFFSET(TH!I$1,SMALL(Dong11,ROWS($1:38)),),0))</f>
        <v>0</v>
      </c>
      <c r="H51" s="952">
        <f t="shared" ca="1" si="7"/>
        <v>0</v>
      </c>
      <c r="I51" s="951">
        <f ca="1">IF(ROWS($1:38)&gt;COUNT(Dong11),0,IF(MID(OFFSET(TH!D$1,SMALL(Dong11,ROWS($1:38)),),4,1)="X",OFFSET(TH!I$1,SMALL(Dong11,ROWS($1:38)),),0))</f>
        <v>0</v>
      </c>
      <c r="J51" s="952">
        <f t="shared" ca="1" si="8"/>
        <v>0</v>
      </c>
      <c r="K51" s="952">
        <f t="shared" ca="1" si="9"/>
        <v>0</v>
      </c>
      <c r="L51" s="952">
        <f t="shared" ca="1" si="10"/>
        <v>0</v>
      </c>
      <c r="M51" s="952"/>
      <c r="N51" s="335"/>
    </row>
    <row r="52" spans="1:14">
      <c r="A52" s="312" t="str">
        <f t="shared" ca="1" si="11"/>
        <v/>
      </c>
      <c r="B52" s="948" t="str">
        <f ca="1">IF(ROWS($1:39)&gt;COUNT(Dong11),"",OFFSET(TH!D$1,SMALL(Dong11,ROWS($1:39)),))</f>
        <v/>
      </c>
      <c r="C52" s="949" t="str">
        <f ca="1">IF(ROWS($1:39)&gt;COUNT(Dong11),"",OFFSET(TH!E$1,SMALL(Dong11,ROWS($1:39)),))</f>
        <v/>
      </c>
      <c r="D52" s="950" t="str">
        <f ca="1">IF(ROWS($1:39)&gt;COUNT(Dong11),"",OFFSET(TH!H$1,SMALL(Dong11,ROWS($1:39)),))</f>
        <v/>
      </c>
      <c r="E52" s="948" t="str">
        <f ca="1">IF(ROWS($1:39)&gt;COUNT(Dong11),"",IF(OFFSET(TH!L$1,SMALL(Dong11,ROWS($1:39)),)=$G$7,OFFSET(TH!M$1,SMALL(Dong11,ROWS($1:39)),),OFFSET(TH!L$1,SMALL(Dong11,ROWS($1:39)),)))</f>
        <v/>
      </c>
      <c r="F52" s="951">
        <f ca="1">IF(ROWS($1:39)&gt;COUNT(Dong11),0,OFFSET(TH!J$1,SMALL(Dong11,ROWS($1:39)),))</f>
        <v>0</v>
      </c>
      <c r="G52" s="951">
        <f ca="1">IF(ROWS($1:39)&gt;COUNT(Dong11),0,IF(MID(OFFSET(TH!D$1,SMALL(Dong11,ROWS($1:39)),),4,1)="N",OFFSET(TH!I$1,SMALL(Dong11,ROWS($1:39)),),0))</f>
        <v>0</v>
      </c>
      <c r="H52" s="952">
        <f t="shared" ca="1" si="7"/>
        <v>0</v>
      </c>
      <c r="I52" s="951">
        <f ca="1">IF(ROWS($1:39)&gt;COUNT(Dong11),0,IF(MID(OFFSET(TH!D$1,SMALL(Dong11,ROWS($1:39)),),4,1)="X",OFFSET(TH!I$1,SMALL(Dong11,ROWS($1:39)),),0))</f>
        <v>0</v>
      </c>
      <c r="J52" s="952">
        <f t="shared" ca="1" si="8"/>
        <v>0</v>
      </c>
      <c r="K52" s="952">
        <f t="shared" ca="1" si="9"/>
        <v>0</v>
      </c>
      <c r="L52" s="952">
        <f t="shared" ca="1" si="10"/>
        <v>0</v>
      </c>
      <c r="M52" s="952"/>
      <c r="N52" s="335"/>
    </row>
    <row r="53" spans="1:14">
      <c r="A53" s="312" t="str">
        <f t="shared" ca="1" si="11"/>
        <v/>
      </c>
      <c r="B53" s="948" t="str">
        <f ca="1">IF(ROWS($1:40)&gt;COUNT(Dong11),"",OFFSET(TH!D$1,SMALL(Dong11,ROWS($1:40)),))</f>
        <v/>
      </c>
      <c r="C53" s="949" t="str">
        <f ca="1">IF(ROWS($1:40)&gt;COUNT(Dong11),"",OFFSET(TH!E$1,SMALL(Dong11,ROWS($1:40)),))</f>
        <v/>
      </c>
      <c r="D53" s="950" t="str">
        <f ca="1">IF(ROWS($1:40)&gt;COUNT(Dong11),"",OFFSET(TH!H$1,SMALL(Dong11,ROWS($1:40)),))</f>
        <v/>
      </c>
      <c r="E53" s="948" t="str">
        <f ca="1">IF(ROWS($1:40)&gt;COUNT(Dong11),"",IF(OFFSET(TH!L$1,SMALL(Dong11,ROWS($1:40)),)=$G$7,OFFSET(TH!M$1,SMALL(Dong11,ROWS($1:40)),),OFFSET(TH!L$1,SMALL(Dong11,ROWS($1:40)),)))</f>
        <v/>
      </c>
      <c r="F53" s="951">
        <f ca="1">IF(ROWS($1:40)&gt;COUNT(Dong11),0,OFFSET(TH!J$1,SMALL(Dong11,ROWS($1:40)),))</f>
        <v>0</v>
      </c>
      <c r="G53" s="951">
        <f ca="1">IF(ROWS($1:40)&gt;COUNT(Dong11),0,IF(MID(OFFSET(TH!D$1,SMALL(Dong11,ROWS($1:40)),),4,1)="N",OFFSET(TH!I$1,SMALL(Dong11,ROWS($1:40)),),0))</f>
        <v>0</v>
      </c>
      <c r="H53" s="952">
        <f t="shared" ca="1" si="7"/>
        <v>0</v>
      </c>
      <c r="I53" s="951">
        <f ca="1">IF(ROWS($1:40)&gt;COUNT(Dong11),0,IF(MID(OFFSET(TH!D$1,SMALL(Dong11,ROWS($1:40)),),4,1)="X",OFFSET(TH!I$1,SMALL(Dong11,ROWS($1:40)),),0))</f>
        <v>0</v>
      </c>
      <c r="J53" s="952">
        <f t="shared" ca="1" si="8"/>
        <v>0</v>
      </c>
      <c r="K53" s="952">
        <f t="shared" ca="1" si="9"/>
        <v>0</v>
      </c>
      <c r="L53" s="952">
        <f t="shared" ca="1" si="10"/>
        <v>0</v>
      </c>
      <c r="M53" s="952"/>
      <c r="N53" s="335"/>
    </row>
    <row r="54" spans="1:14">
      <c r="A54" s="312" t="str">
        <f t="shared" ca="1" si="11"/>
        <v/>
      </c>
      <c r="B54" s="948" t="str">
        <f ca="1">IF(ROWS($1:41)&gt;COUNT(Dong11),"",OFFSET(TH!D$1,SMALL(Dong11,ROWS($1:41)),))</f>
        <v/>
      </c>
      <c r="C54" s="949" t="str">
        <f ca="1">IF(ROWS($1:41)&gt;COUNT(Dong11),"",OFFSET(TH!E$1,SMALL(Dong11,ROWS($1:41)),))</f>
        <v/>
      </c>
      <c r="D54" s="950" t="str">
        <f ca="1">IF(ROWS($1:41)&gt;COUNT(Dong11),"",OFFSET(TH!H$1,SMALL(Dong11,ROWS($1:41)),))</f>
        <v/>
      </c>
      <c r="E54" s="948" t="str">
        <f ca="1">IF(ROWS($1:41)&gt;COUNT(Dong11),"",IF(OFFSET(TH!L$1,SMALL(Dong11,ROWS($1:41)),)=$G$7,OFFSET(TH!M$1,SMALL(Dong11,ROWS($1:41)),),OFFSET(TH!L$1,SMALL(Dong11,ROWS($1:41)),)))</f>
        <v/>
      </c>
      <c r="F54" s="951">
        <f ca="1">IF(ROWS($1:41)&gt;COUNT(Dong11),0,OFFSET(TH!J$1,SMALL(Dong11,ROWS($1:41)),))</f>
        <v>0</v>
      </c>
      <c r="G54" s="951">
        <f ca="1">IF(ROWS($1:41)&gt;COUNT(Dong11),0,IF(MID(OFFSET(TH!D$1,SMALL(Dong11,ROWS($1:41)),),4,1)="N",OFFSET(TH!I$1,SMALL(Dong11,ROWS($1:41)),),0))</f>
        <v>0</v>
      </c>
      <c r="H54" s="952">
        <f t="shared" ca="1" si="7"/>
        <v>0</v>
      </c>
      <c r="I54" s="951">
        <f ca="1">IF(ROWS($1:41)&gt;COUNT(Dong11),0,IF(MID(OFFSET(TH!D$1,SMALL(Dong11,ROWS($1:41)),),4,1)="X",OFFSET(TH!I$1,SMALL(Dong11,ROWS($1:41)),),0))</f>
        <v>0</v>
      </c>
      <c r="J54" s="952">
        <f t="shared" ca="1" si="8"/>
        <v>0</v>
      </c>
      <c r="K54" s="952">
        <f t="shared" ca="1" si="9"/>
        <v>0</v>
      </c>
      <c r="L54" s="952">
        <f t="shared" ca="1" si="10"/>
        <v>0</v>
      </c>
      <c r="M54" s="952"/>
      <c r="N54" s="335"/>
    </row>
    <row r="55" spans="1:14">
      <c r="A55" s="312" t="str">
        <f t="shared" ca="1" si="11"/>
        <v/>
      </c>
      <c r="B55" s="948" t="str">
        <f ca="1">IF(ROWS($1:42)&gt;COUNT(Dong11),"",OFFSET(TH!D$1,SMALL(Dong11,ROWS($1:42)),))</f>
        <v/>
      </c>
      <c r="C55" s="949" t="str">
        <f ca="1">IF(ROWS($1:42)&gt;COUNT(Dong11),"",OFFSET(TH!E$1,SMALL(Dong11,ROWS($1:42)),))</f>
        <v/>
      </c>
      <c r="D55" s="950" t="str">
        <f ca="1">IF(ROWS($1:42)&gt;COUNT(Dong11),"",OFFSET(TH!H$1,SMALL(Dong11,ROWS($1:42)),))</f>
        <v/>
      </c>
      <c r="E55" s="948" t="str">
        <f ca="1">IF(ROWS($1:42)&gt;COUNT(Dong11),"",IF(OFFSET(TH!L$1,SMALL(Dong11,ROWS($1:42)),)=$G$7,OFFSET(TH!M$1,SMALL(Dong11,ROWS($1:42)),),OFFSET(TH!L$1,SMALL(Dong11,ROWS($1:42)),)))</f>
        <v/>
      </c>
      <c r="F55" s="951">
        <f ca="1">IF(ROWS($1:42)&gt;COUNT(Dong11),0,OFFSET(TH!J$1,SMALL(Dong11,ROWS($1:42)),))</f>
        <v>0</v>
      </c>
      <c r="G55" s="951">
        <f ca="1">IF(ROWS($1:42)&gt;COUNT(Dong11),0,IF(MID(OFFSET(TH!D$1,SMALL(Dong11,ROWS($1:42)),),4,1)="N",OFFSET(TH!I$1,SMALL(Dong11,ROWS($1:42)),),0))</f>
        <v>0</v>
      </c>
      <c r="H55" s="952">
        <f t="shared" ca="1" si="7"/>
        <v>0</v>
      </c>
      <c r="I55" s="951">
        <f ca="1">IF(ROWS($1:42)&gt;COUNT(Dong11),0,IF(MID(OFFSET(TH!D$1,SMALL(Dong11,ROWS($1:42)),),4,1)="X",OFFSET(TH!I$1,SMALL(Dong11,ROWS($1:42)),),0))</f>
        <v>0</v>
      </c>
      <c r="J55" s="952">
        <f t="shared" ca="1" si="8"/>
        <v>0</v>
      </c>
      <c r="K55" s="952">
        <f t="shared" ca="1" si="9"/>
        <v>0</v>
      </c>
      <c r="L55" s="952">
        <f t="shared" ca="1" si="10"/>
        <v>0</v>
      </c>
      <c r="M55" s="952"/>
      <c r="N55" s="335"/>
    </row>
    <row r="56" spans="1:14">
      <c r="A56" s="312" t="str">
        <f t="shared" ca="1" si="11"/>
        <v/>
      </c>
      <c r="B56" s="948" t="str">
        <f ca="1">IF(ROWS($1:43)&gt;COUNT(Dong11),"",OFFSET(TH!D$1,SMALL(Dong11,ROWS($1:43)),))</f>
        <v/>
      </c>
      <c r="C56" s="949" t="str">
        <f ca="1">IF(ROWS($1:43)&gt;COUNT(Dong11),"",OFFSET(TH!E$1,SMALL(Dong11,ROWS($1:43)),))</f>
        <v/>
      </c>
      <c r="D56" s="950" t="str">
        <f ca="1">IF(ROWS($1:43)&gt;COUNT(Dong11),"",OFFSET(TH!H$1,SMALL(Dong11,ROWS($1:43)),))</f>
        <v/>
      </c>
      <c r="E56" s="948" t="str">
        <f ca="1">IF(ROWS($1:43)&gt;COUNT(Dong11),"",IF(OFFSET(TH!L$1,SMALL(Dong11,ROWS($1:43)),)=$G$7,OFFSET(TH!M$1,SMALL(Dong11,ROWS($1:43)),),OFFSET(TH!L$1,SMALL(Dong11,ROWS($1:43)),)))</f>
        <v/>
      </c>
      <c r="F56" s="951">
        <f ca="1">IF(ROWS($1:43)&gt;COUNT(Dong11),0,OFFSET(TH!J$1,SMALL(Dong11,ROWS($1:43)),))</f>
        <v>0</v>
      </c>
      <c r="G56" s="951">
        <f ca="1">IF(ROWS($1:43)&gt;COUNT(Dong11),0,IF(MID(OFFSET(TH!D$1,SMALL(Dong11,ROWS($1:43)),),4,1)="N",OFFSET(TH!I$1,SMALL(Dong11,ROWS($1:43)),),0))</f>
        <v>0</v>
      </c>
      <c r="H56" s="952">
        <f t="shared" ca="1" si="7"/>
        <v>0</v>
      </c>
      <c r="I56" s="951">
        <f ca="1">IF(ROWS($1:43)&gt;COUNT(Dong11),0,IF(MID(OFFSET(TH!D$1,SMALL(Dong11,ROWS($1:43)),),4,1)="X",OFFSET(TH!I$1,SMALL(Dong11,ROWS($1:43)),),0))</f>
        <v>0</v>
      </c>
      <c r="J56" s="952">
        <f t="shared" ca="1" si="8"/>
        <v>0</v>
      </c>
      <c r="K56" s="952">
        <f t="shared" ca="1" si="9"/>
        <v>0</v>
      </c>
      <c r="L56" s="952">
        <f t="shared" ca="1" si="10"/>
        <v>0</v>
      </c>
      <c r="M56" s="952"/>
      <c r="N56" s="335"/>
    </row>
    <row r="57" spans="1:14">
      <c r="A57" s="312" t="str">
        <f t="shared" ca="1" si="11"/>
        <v/>
      </c>
      <c r="B57" s="948" t="str">
        <f ca="1">IF(ROWS($1:44)&gt;COUNT(Dong11),"",OFFSET(TH!D$1,SMALL(Dong11,ROWS($1:44)),))</f>
        <v/>
      </c>
      <c r="C57" s="949" t="str">
        <f ca="1">IF(ROWS($1:44)&gt;COUNT(Dong11),"",OFFSET(TH!E$1,SMALL(Dong11,ROWS($1:44)),))</f>
        <v/>
      </c>
      <c r="D57" s="950" t="str">
        <f ca="1">IF(ROWS($1:44)&gt;COUNT(Dong11),"",OFFSET(TH!H$1,SMALL(Dong11,ROWS($1:44)),))</f>
        <v/>
      </c>
      <c r="E57" s="948" t="str">
        <f ca="1">IF(ROWS($1:44)&gt;COUNT(Dong11),"",IF(OFFSET(TH!L$1,SMALL(Dong11,ROWS($1:44)),)=$G$7,OFFSET(TH!M$1,SMALL(Dong11,ROWS($1:44)),),OFFSET(TH!L$1,SMALL(Dong11,ROWS($1:44)),)))</f>
        <v/>
      </c>
      <c r="F57" s="951">
        <f ca="1">IF(ROWS($1:44)&gt;COUNT(Dong11),0,OFFSET(TH!J$1,SMALL(Dong11,ROWS($1:44)),))</f>
        <v>0</v>
      </c>
      <c r="G57" s="951">
        <f ca="1">IF(ROWS($1:44)&gt;COUNT(Dong11),0,IF(MID(OFFSET(TH!D$1,SMALL(Dong11,ROWS($1:44)),),4,1)="N",OFFSET(TH!I$1,SMALL(Dong11,ROWS($1:44)),),0))</f>
        <v>0</v>
      </c>
      <c r="H57" s="952">
        <f t="shared" ca="1" si="7"/>
        <v>0</v>
      </c>
      <c r="I57" s="951">
        <f ca="1">IF(ROWS($1:44)&gt;COUNT(Dong11),0,IF(MID(OFFSET(TH!D$1,SMALL(Dong11,ROWS($1:44)),),4,1)="X",OFFSET(TH!I$1,SMALL(Dong11,ROWS($1:44)),),0))</f>
        <v>0</v>
      </c>
      <c r="J57" s="952">
        <f t="shared" ca="1" si="8"/>
        <v>0</v>
      </c>
      <c r="K57" s="952">
        <f t="shared" ca="1" si="9"/>
        <v>0</v>
      </c>
      <c r="L57" s="952">
        <f t="shared" ca="1" si="10"/>
        <v>0</v>
      </c>
      <c r="M57" s="952"/>
      <c r="N57" s="335"/>
    </row>
    <row r="58" spans="1:14">
      <c r="A58" s="312" t="str">
        <f t="shared" ca="1" si="11"/>
        <v/>
      </c>
      <c r="B58" s="948" t="str">
        <f ca="1">IF(ROWS($1:45)&gt;COUNT(Dong11),"",OFFSET(TH!D$1,SMALL(Dong11,ROWS($1:45)),))</f>
        <v/>
      </c>
      <c r="C58" s="949" t="str">
        <f ca="1">IF(ROWS($1:45)&gt;COUNT(Dong11),"",OFFSET(TH!E$1,SMALL(Dong11,ROWS($1:45)),))</f>
        <v/>
      </c>
      <c r="D58" s="950" t="str">
        <f ca="1">IF(ROWS($1:45)&gt;COUNT(Dong11),"",OFFSET(TH!H$1,SMALL(Dong11,ROWS($1:45)),))</f>
        <v/>
      </c>
      <c r="E58" s="948" t="str">
        <f ca="1">IF(ROWS($1:45)&gt;COUNT(Dong11),"",IF(OFFSET(TH!L$1,SMALL(Dong11,ROWS($1:45)),)=$G$7,OFFSET(TH!M$1,SMALL(Dong11,ROWS($1:45)),),OFFSET(TH!L$1,SMALL(Dong11,ROWS($1:45)),)))</f>
        <v/>
      </c>
      <c r="F58" s="951">
        <f ca="1">IF(ROWS($1:45)&gt;COUNT(Dong11),0,OFFSET(TH!J$1,SMALL(Dong11,ROWS($1:45)),))</f>
        <v>0</v>
      </c>
      <c r="G58" s="951">
        <f ca="1">IF(ROWS($1:45)&gt;COUNT(Dong11),0,IF(MID(OFFSET(TH!D$1,SMALL(Dong11,ROWS($1:45)),),4,1)="N",OFFSET(TH!I$1,SMALL(Dong11,ROWS($1:45)),),0))</f>
        <v>0</v>
      </c>
      <c r="H58" s="952">
        <f t="shared" ca="1" si="7"/>
        <v>0</v>
      </c>
      <c r="I58" s="951">
        <f ca="1">IF(ROWS($1:45)&gt;COUNT(Dong11),0,IF(MID(OFFSET(TH!D$1,SMALL(Dong11,ROWS($1:45)),),4,1)="X",OFFSET(TH!I$1,SMALL(Dong11,ROWS($1:45)),),0))</f>
        <v>0</v>
      </c>
      <c r="J58" s="952">
        <f t="shared" ca="1" si="8"/>
        <v>0</v>
      </c>
      <c r="K58" s="952">
        <f t="shared" ca="1" si="9"/>
        <v>0</v>
      </c>
      <c r="L58" s="952">
        <f t="shared" ca="1" si="10"/>
        <v>0</v>
      </c>
      <c r="M58" s="952"/>
      <c r="N58" s="335"/>
    </row>
    <row r="59" spans="1:14">
      <c r="A59" s="312" t="str">
        <f t="shared" ca="1" si="11"/>
        <v/>
      </c>
      <c r="B59" s="948" t="str">
        <f ca="1">IF(ROWS($1:46)&gt;COUNT(Dong11),"",OFFSET(TH!D$1,SMALL(Dong11,ROWS($1:46)),))</f>
        <v/>
      </c>
      <c r="C59" s="949" t="str">
        <f ca="1">IF(ROWS($1:46)&gt;COUNT(Dong11),"",OFFSET(TH!E$1,SMALL(Dong11,ROWS($1:46)),))</f>
        <v/>
      </c>
      <c r="D59" s="950" t="str">
        <f ca="1">IF(ROWS($1:46)&gt;COUNT(Dong11),"",OFFSET(TH!H$1,SMALL(Dong11,ROWS($1:46)),))</f>
        <v/>
      </c>
      <c r="E59" s="948" t="str">
        <f ca="1">IF(ROWS($1:46)&gt;COUNT(Dong11),"",IF(OFFSET(TH!L$1,SMALL(Dong11,ROWS($1:46)),)=$G$7,OFFSET(TH!M$1,SMALL(Dong11,ROWS($1:46)),),OFFSET(TH!L$1,SMALL(Dong11,ROWS($1:46)),)))</f>
        <v/>
      </c>
      <c r="F59" s="951">
        <f ca="1">IF(ROWS($1:46)&gt;COUNT(Dong11),0,OFFSET(TH!J$1,SMALL(Dong11,ROWS($1:46)),))</f>
        <v>0</v>
      </c>
      <c r="G59" s="951">
        <f ca="1">IF(ROWS($1:46)&gt;COUNT(Dong11),0,IF(MID(OFFSET(TH!D$1,SMALL(Dong11,ROWS($1:46)),),4,1)="N",OFFSET(TH!I$1,SMALL(Dong11,ROWS($1:46)),),0))</f>
        <v>0</v>
      </c>
      <c r="H59" s="952">
        <f t="shared" ca="1" si="7"/>
        <v>0</v>
      </c>
      <c r="I59" s="951">
        <f ca="1">IF(ROWS($1:46)&gt;COUNT(Dong11),0,IF(MID(OFFSET(TH!D$1,SMALL(Dong11,ROWS($1:46)),),4,1)="X",OFFSET(TH!I$1,SMALL(Dong11,ROWS($1:46)),),0))</f>
        <v>0</v>
      </c>
      <c r="J59" s="952">
        <f t="shared" ca="1" si="8"/>
        <v>0</v>
      </c>
      <c r="K59" s="952">
        <f t="shared" ca="1" si="9"/>
        <v>0</v>
      </c>
      <c r="L59" s="952">
        <f t="shared" ca="1" si="10"/>
        <v>0</v>
      </c>
      <c r="M59" s="952"/>
      <c r="N59" s="335"/>
    </row>
    <row r="60" spans="1:14">
      <c r="A60" s="312" t="str">
        <f t="shared" ca="1" si="11"/>
        <v/>
      </c>
      <c r="B60" s="948" t="str">
        <f ca="1">IF(ROWS($1:47)&gt;COUNT(Dong11),"",OFFSET(TH!D$1,SMALL(Dong11,ROWS($1:47)),))</f>
        <v/>
      </c>
      <c r="C60" s="949" t="str">
        <f ca="1">IF(ROWS($1:47)&gt;COUNT(Dong11),"",OFFSET(TH!E$1,SMALL(Dong11,ROWS($1:47)),))</f>
        <v/>
      </c>
      <c r="D60" s="950" t="str">
        <f ca="1">IF(ROWS($1:47)&gt;COUNT(Dong11),"",OFFSET(TH!H$1,SMALL(Dong11,ROWS($1:47)),))</f>
        <v/>
      </c>
      <c r="E60" s="948" t="str">
        <f ca="1">IF(ROWS($1:47)&gt;COUNT(Dong11),"",IF(OFFSET(TH!L$1,SMALL(Dong11,ROWS($1:47)),)=$G$7,OFFSET(TH!M$1,SMALL(Dong11,ROWS($1:47)),),OFFSET(TH!L$1,SMALL(Dong11,ROWS($1:47)),)))</f>
        <v/>
      </c>
      <c r="F60" s="951">
        <f ca="1">IF(ROWS($1:47)&gt;COUNT(Dong11),0,OFFSET(TH!J$1,SMALL(Dong11,ROWS($1:47)),))</f>
        <v>0</v>
      </c>
      <c r="G60" s="951">
        <f ca="1">IF(ROWS($1:47)&gt;COUNT(Dong11),0,IF(MID(OFFSET(TH!D$1,SMALL(Dong11,ROWS($1:47)),),4,1)="N",OFFSET(TH!I$1,SMALL(Dong11,ROWS($1:47)),),0))</f>
        <v>0</v>
      </c>
      <c r="H60" s="952">
        <f t="shared" ca="1" si="7"/>
        <v>0</v>
      </c>
      <c r="I60" s="951">
        <f ca="1">IF(ROWS($1:47)&gt;COUNT(Dong11),0,IF(MID(OFFSET(TH!D$1,SMALL(Dong11,ROWS($1:47)),),4,1)="X",OFFSET(TH!I$1,SMALL(Dong11,ROWS($1:47)),),0))</f>
        <v>0</v>
      </c>
      <c r="J60" s="952">
        <f t="shared" ca="1" si="8"/>
        <v>0</v>
      </c>
      <c r="K60" s="952">
        <f t="shared" ca="1" si="9"/>
        <v>0</v>
      </c>
      <c r="L60" s="952">
        <f t="shared" ca="1" si="10"/>
        <v>0</v>
      </c>
      <c r="M60" s="952"/>
      <c r="N60" s="335"/>
    </row>
    <row r="61" spans="1:14">
      <c r="A61" s="312" t="str">
        <f t="shared" ca="1" si="11"/>
        <v/>
      </c>
      <c r="B61" s="948" t="str">
        <f ca="1">IF(ROWS($1:48)&gt;COUNT(Dong11),"",OFFSET(TH!D$1,SMALL(Dong11,ROWS($1:48)),))</f>
        <v/>
      </c>
      <c r="C61" s="949" t="str">
        <f ca="1">IF(ROWS($1:48)&gt;COUNT(Dong11),"",OFFSET(TH!E$1,SMALL(Dong11,ROWS($1:48)),))</f>
        <v/>
      </c>
      <c r="D61" s="950" t="str">
        <f ca="1">IF(ROWS($1:48)&gt;COUNT(Dong11),"",OFFSET(TH!H$1,SMALL(Dong11,ROWS($1:48)),))</f>
        <v/>
      </c>
      <c r="E61" s="948" t="str">
        <f ca="1">IF(ROWS($1:48)&gt;COUNT(Dong11),"",IF(OFFSET(TH!L$1,SMALL(Dong11,ROWS($1:48)),)=$G$7,OFFSET(TH!M$1,SMALL(Dong11,ROWS($1:48)),),OFFSET(TH!L$1,SMALL(Dong11,ROWS($1:48)),)))</f>
        <v/>
      </c>
      <c r="F61" s="951">
        <f ca="1">IF(ROWS($1:48)&gt;COUNT(Dong11),0,OFFSET(TH!J$1,SMALL(Dong11,ROWS($1:48)),))</f>
        <v>0</v>
      </c>
      <c r="G61" s="951">
        <f ca="1">IF(ROWS($1:48)&gt;COUNT(Dong11),0,IF(MID(OFFSET(TH!D$1,SMALL(Dong11,ROWS($1:48)),),4,1)="N",OFFSET(TH!I$1,SMALL(Dong11,ROWS($1:48)),),0))</f>
        <v>0</v>
      </c>
      <c r="H61" s="952">
        <f t="shared" ca="1" si="7"/>
        <v>0</v>
      </c>
      <c r="I61" s="951">
        <f ca="1">IF(ROWS($1:48)&gt;COUNT(Dong11),0,IF(MID(OFFSET(TH!D$1,SMALL(Dong11,ROWS($1:48)),),4,1)="X",OFFSET(TH!I$1,SMALL(Dong11,ROWS($1:48)),),0))</f>
        <v>0</v>
      </c>
      <c r="J61" s="952">
        <f t="shared" ca="1" si="8"/>
        <v>0</v>
      </c>
      <c r="K61" s="952">
        <f t="shared" ca="1" si="9"/>
        <v>0</v>
      </c>
      <c r="L61" s="952">
        <f t="shared" ca="1" si="10"/>
        <v>0</v>
      </c>
      <c r="M61" s="952"/>
      <c r="N61" s="335"/>
    </row>
    <row r="62" spans="1:14">
      <c r="A62" s="312" t="str">
        <f t="shared" ca="1" si="11"/>
        <v/>
      </c>
      <c r="B62" s="948" t="str">
        <f ca="1">IF(ROWS($1:49)&gt;COUNT(Dong11),"",OFFSET(TH!D$1,SMALL(Dong11,ROWS($1:49)),))</f>
        <v/>
      </c>
      <c r="C62" s="949" t="str">
        <f ca="1">IF(ROWS($1:49)&gt;COUNT(Dong11),"",OFFSET(TH!E$1,SMALL(Dong11,ROWS($1:49)),))</f>
        <v/>
      </c>
      <c r="D62" s="950" t="str">
        <f ca="1">IF(ROWS($1:49)&gt;COUNT(Dong11),"",OFFSET(TH!H$1,SMALL(Dong11,ROWS($1:49)),))</f>
        <v/>
      </c>
      <c r="E62" s="948" t="str">
        <f ca="1">IF(ROWS($1:49)&gt;COUNT(Dong11),"",IF(OFFSET(TH!L$1,SMALL(Dong11,ROWS($1:49)),)=$G$7,OFFSET(TH!M$1,SMALL(Dong11,ROWS($1:49)),),OFFSET(TH!L$1,SMALL(Dong11,ROWS($1:49)),)))</f>
        <v/>
      </c>
      <c r="F62" s="951">
        <f ca="1">IF(ROWS($1:49)&gt;COUNT(Dong11),0,OFFSET(TH!J$1,SMALL(Dong11,ROWS($1:49)),))</f>
        <v>0</v>
      </c>
      <c r="G62" s="951">
        <f ca="1">IF(ROWS($1:49)&gt;COUNT(Dong11),0,IF(MID(OFFSET(TH!D$1,SMALL(Dong11,ROWS($1:49)),),4,1)="N",OFFSET(TH!I$1,SMALL(Dong11,ROWS($1:49)),),0))</f>
        <v>0</v>
      </c>
      <c r="H62" s="952">
        <f t="shared" ca="1" si="7"/>
        <v>0</v>
      </c>
      <c r="I62" s="951">
        <f ca="1">IF(ROWS($1:49)&gt;COUNT(Dong11),0,IF(MID(OFFSET(TH!D$1,SMALL(Dong11,ROWS($1:49)),),4,1)="X",OFFSET(TH!I$1,SMALL(Dong11,ROWS($1:49)),),0))</f>
        <v>0</v>
      </c>
      <c r="J62" s="952">
        <f t="shared" ca="1" si="8"/>
        <v>0</v>
      </c>
      <c r="K62" s="952">
        <f t="shared" ca="1" si="9"/>
        <v>0</v>
      </c>
      <c r="L62" s="952">
        <f t="shared" ca="1" si="10"/>
        <v>0</v>
      </c>
      <c r="M62" s="952"/>
      <c r="N62" s="335"/>
    </row>
    <row r="63" spans="1:14">
      <c r="A63" s="312" t="str">
        <f t="shared" ca="1" si="11"/>
        <v/>
      </c>
      <c r="B63" s="948" t="str">
        <f ca="1">IF(ROWS($1:50)&gt;COUNT(Dong11),"",OFFSET(TH!D$1,SMALL(Dong11,ROWS($1:50)),))</f>
        <v/>
      </c>
      <c r="C63" s="949" t="str">
        <f ca="1">IF(ROWS($1:50)&gt;COUNT(Dong11),"",OFFSET(TH!E$1,SMALL(Dong11,ROWS($1:50)),))</f>
        <v/>
      </c>
      <c r="D63" s="950" t="str">
        <f ca="1">IF(ROWS($1:50)&gt;COUNT(Dong11),"",OFFSET(TH!H$1,SMALL(Dong11,ROWS($1:50)),))</f>
        <v/>
      </c>
      <c r="E63" s="948" t="str">
        <f ca="1">IF(ROWS($1:50)&gt;COUNT(Dong11),"",IF(OFFSET(TH!L$1,SMALL(Dong11,ROWS($1:50)),)=$G$7,OFFSET(TH!M$1,SMALL(Dong11,ROWS($1:50)),),OFFSET(TH!L$1,SMALL(Dong11,ROWS($1:50)),)))</f>
        <v/>
      </c>
      <c r="F63" s="951">
        <f ca="1">IF(ROWS($1:50)&gt;COUNT(Dong11),0,OFFSET(TH!J$1,SMALL(Dong11,ROWS($1:50)),))</f>
        <v>0</v>
      </c>
      <c r="G63" s="951">
        <f ca="1">IF(ROWS($1:50)&gt;COUNT(Dong11),0,IF(MID(OFFSET(TH!D$1,SMALL(Dong11,ROWS($1:50)),),4,1)="N",OFFSET(TH!I$1,SMALL(Dong11,ROWS($1:50)),),0))</f>
        <v>0</v>
      </c>
      <c r="H63" s="952">
        <f t="shared" ca="1" si="7"/>
        <v>0</v>
      </c>
      <c r="I63" s="951">
        <f ca="1">IF(ROWS($1:50)&gt;COUNT(Dong11),0,IF(MID(OFFSET(TH!D$1,SMALL(Dong11,ROWS($1:50)),),4,1)="X",OFFSET(TH!I$1,SMALL(Dong11,ROWS($1:50)),),0))</f>
        <v>0</v>
      </c>
      <c r="J63" s="952">
        <f t="shared" ca="1" si="8"/>
        <v>0</v>
      </c>
      <c r="K63" s="952">
        <f t="shared" ca="1" si="9"/>
        <v>0</v>
      </c>
      <c r="L63" s="952">
        <f t="shared" ca="1" si="10"/>
        <v>0</v>
      </c>
      <c r="M63" s="952"/>
      <c r="N63" s="335"/>
    </row>
    <row r="64" spans="1:14">
      <c r="A64" s="312" t="str">
        <f t="shared" ca="1" si="11"/>
        <v/>
      </c>
      <c r="B64" s="948" t="str">
        <f ca="1">IF(ROWS($1:51)&gt;COUNT(Dong11),"",OFFSET(TH!D$1,SMALL(Dong11,ROWS($1:51)),))</f>
        <v/>
      </c>
      <c r="C64" s="949" t="str">
        <f ca="1">IF(ROWS($1:51)&gt;COUNT(Dong11),"",OFFSET(TH!E$1,SMALL(Dong11,ROWS($1:51)),))</f>
        <v/>
      </c>
      <c r="D64" s="950" t="str">
        <f ca="1">IF(ROWS($1:51)&gt;COUNT(Dong11),"",OFFSET(TH!H$1,SMALL(Dong11,ROWS($1:51)),))</f>
        <v/>
      </c>
      <c r="E64" s="948" t="str">
        <f ca="1">IF(ROWS($1:51)&gt;COUNT(Dong11),"",IF(OFFSET(TH!L$1,SMALL(Dong11,ROWS($1:51)),)=$G$7,OFFSET(TH!M$1,SMALL(Dong11,ROWS($1:51)),),OFFSET(TH!L$1,SMALL(Dong11,ROWS($1:51)),)))</f>
        <v/>
      </c>
      <c r="F64" s="951">
        <f ca="1">IF(ROWS($1:51)&gt;COUNT(Dong11),0,OFFSET(TH!J$1,SMALL(Dong11,ROWS($1:51)),))</f>
        <v>0</v>
      </c>
      <c r="G64" s="951">
        <f ca="1">IF(ROWS($1:51)&gt;COUNT(Dong11),0,IF(MID(OFFSET(TH!D$1,SMALL(Dong11,ROWS($1:51)),),4,1)="N",OFFSET(TH!I$1,SMALL(Dong11,ROWS($1:51)),),0))</f>
        <v>0</v>
      </c>
      <c r="H64" s="952">
        <f t="shared" ca="1" si="7"/>
        <v>0</v>
      </c>
      <c r="I64" s="951">
        <f ca="1">IF(ROWS($1:51)&gt;COUNT(Dong11),0,IF(MID(OFFSET(TH!D$1,SMALL(Dong11,ROWS($1:51)),),4,1)="X",OFFSET(TH!I$1,SMALL(Dong11,ROWS($1:51)),),0))</f>
        <v>0</v>
      </c>
      <c r="J64" s="952">
        <f t="shared" ca="1" si="8"/>
        <v>0</v>
      </c>
      <c r="K64" s="952">
        <f t="shared" ca="1" si="9"/>
        <v>0</v>
      </c>
      <c r="L64" s="952">
        <f t="shared" ca="1" si="10"/>
        <v>0</v>
      </c>
      <c r="M64" s="952"/>
      <c r="N64" s="335"/>
    </row>
    <row r="65" spans="1:14">
      <c r="A65" s="312" t="str">
        <f t="shared" ca="1" si="11"/>
        <v/>
      </c>
      <c r="B65" s="948" t="str">
        <f ca="1">IF(ROWS($1:52)&gt;COUNT(Dong11),"",OFFSET(TH!D$1,SMALL(Dong11,ROWS($1:52)),))</f>
        <v/>
      </c>
      <c r="C65" s="949" t="str">
        <f ca="1">IF(ROWS($1:52)&gt;COUNT(Dong11),"",OFFSET(TH!E$1,SMALL(Dong11,ROWS($1:52)),))</f>
        <v/>
      </c>
      <c r="D65" s="950" t="str">
        <f ca="1">IF(ROWS($1:52)&gt;COUNT(Dong11),"",OFFSET(TH!H$1,SMALL(Dong11,ROWS($1:52)),))</f>
        <v/>
      </c>
      <c r="E65" s="948" t="str">
        <f ca="1">IF(ROWS($1:52)&gt;COUNT(Dong11),"",IF(OFFSET(TH!L$1,SMALL(Dong11,ROWS($1:52)),)=$G$7,OFFSET(TH!M$1,SMALL(Dong11,ROWS($1:52)),),OFFSET(TH!L$1,SMALL(Dong11,ROWS($1:52)),)))</f>
        <v/>
      </c>
      <c r="F65" s="951">
        <f ca="1">IF(ROWS($1:52)&gt;COUNT(Dong11),0,OFFSET(TH!J$1,SMALL(Dong11,ROWS($1:52)),))</f>
        <v>0</v>
      </c>
      <c r="G65" s="951">
        <f ca="1">IF(ROWS($1:52)&gt;COUNT(Dong11),0,IF(MID(OFFSET(TH!D$1,SMALL(Dong11,ROWS($1:52)),),4,1)="N",OFFSET(TH!I$1,SMALL(Dong11,ROWS($1:52)),),0))</f>
        <v>0</v>
      </c>
      <c r="H65" s="952">
        <f t="shared" ca="1" si="7"/>
        <v>0</v>
      </c>
      <c r="I65" s="951">
        <f ca="1">IF(ROWS($1:52)&gt;COUNT(Dong11),0,IF(MID(OFFSET(TH!D$1,SMALL(Dong11,ROWS($1:52)),),4,1)="X",OFFSET(TH!I$1,SMALL(Dong11,ROWS($1:52)),),0))</f>
        <v>0</v>
      </c>
      <c r="J65" s="952">
        <f t="shared" ca="1" si="8"/>
        <v>0</v>
      </c>
      <c r="K65" s="952">
        <f t="shared" ca="1" si="9"/>
        <v>0</v>
      </c>
      <c r="L65" s="952">
        <f t="shared" ca="1" si="10"/>
        <v>0</v>
      </c>
      <c r="M65" s="952"/>
      <c r="N65" s="335"/>
    </row>
    <row r="66" spans="1:14">
      <c r="A66" s="312" t="str">
        <f t="shared" ca="1" si="11"/>
        <v/>
      </c>
      <c r="B66" s="948" t="str">
        <f ca="1">IF(ROWS($1:53)&gt;COUNT(Dong11),"",OFFSET(TH!D$1,SMALL(Dong11,ROWS($1:53)),))</f>
        <v/>
      </c>
      <c r="C66" s="949" t="str">
        <f ca="1">IF(ROWS($1:53)&gt;COUNT(Dong11),"",OFFSET(TH!E$1,SMALL(Dong11,ROWS($1:53)),))</f>
        <v/>
      </c>
      <c r="D66" s="950" t="str">
        <f ca="1">IF(ROWS($1:53)&gt;COUNT(Dong11),"",OFFSET(TH!H$1,SMALL(Dong11,ROWS($1:53)),))</f>
        <v/>
      </c>
      <c r="E66" s="948" t="str">
        <f ca="1">IF(ROWS($1:53)&gt;COUNT(Dong11),"",IF(OFFSET(TH!L$1,SMALL(Dong11,ROWS($1:53)),)=$G$7,OFFSET(TH!M$1,SMALL(Dong11,ROWS($1:53)),),OFFSET(TH!L$1,SMALL(Dong11,ROWS($1:53)),)))</f>
        <v/>
      </c>
      <c r="F66" s="951">
        <f ca="1">IF(ROWS($1:53)&gt;COUNT(Dong11),0,OFFSET(TH!J$1,SMALL(Dong11,ROWS($1:53)),))</f>
        <v>0</v>
      </c>
      <c r="G66" s="951">
        <f ca="1">IF(ROWS($1:53)&gt;COUNT(Dong11),0,IF(MID(OFFSET(TH!D$1,SMALL(Dong11,ROWS($1:53)),),4,1)="N",OFFSET(TH!I$1,SMALL(Dong11,ROWS($1:53)),),0))</f>
        <v>0</v>
      </c>
      <c r="H66" s="952">
        <f t="shared" ca="1" si="7"/>
        <v>0</v>
      </c>
      <c r="I66" s="951">
        <f ca="1">IF(ROWS($1:53)&gt;COUNT(Dong11),0,IF(MID(OFFSET(TH!D$1,SMALL(Dong11,ROWS($1:53)),),4,1)="X",OFFSET(TH!I$1,SMALL(Dong11,ROWS($1:53)),),0))</f>
        <v>0</v>
      </c>
      <c r="J66" s="952">
        <f t="shared" ca="1" si="8"/>
        <v>0</v>
      </c>
      <c r="K66" s="952">
        <f t="shared" ca="1" si="9"/>
        <v>0</v>
      </c>
      <c r="L66" s="952">
        <f t="shared" ca="1" si="10"/>
        <v>0</v>
      </c>
      <c r="M66" s="952"/>
      <c r="N66" s="335"/>
    </row>
    <row r="67" spans="1:14">
      <c r="A67" s="312" t="str">
        <f t="shared" ca="1" si="11"/>
        <v/>
      </c>
      <c r="B67" s="948" t="str">
        <f ca="1">IF(ROWS($1:54)&gt;COUNT(Dong11),"",OFFSET(TH!D$1,SMALL(Dong11,ROWS($1:54)),))</f>
        <v/>
      </c>
      <c r="C67" s="949" t="str">
        <f ca="1">IF(ROWS($1:54)&gt;COUNT(Dong11),"",OFFSET(TH!E$1,SMALL(Dong11,ROWS($1:54)),))</f>
        <v/>
      </c>
      <c r="D67" s="950" t="str">
        <f ca="1">IF(ROWS($1:54)&gt;COUNT(Dong11),"",OFFSET(TH!H$1,SMALL(Dong11,ROWS($1:54)),))</f>
        <v/>
      </c>
      <c r="E67" s="948" t="str">
        <f ca="1">IF(ROWS($1:54)&gt;COUNT(Dong11),"",IF(OFFSET(TH!L$1,SMALL(Dong11,ROWS($1:54)),)=$G$7,OFFSET(TH!M$1,SMALL(Dong11,ROWS($1:54)),),OFFSET(TH!L$1,SMALL(Dong11,ROWS($1:54)),)))</f>
        <v/>
      </c>
      <c r="F67" s="951">
        <f ca="1">IF(ROWS($1:54)&gt;COUNT(Dong11),0,OFFSET(TH!J$1,SMALL(Dong11,ROWS($1:54)),))</f>
        <v>0</v>
      </c>
      <c r="G67" s="951">
        <f ca="1">IF(ROWS($1:54)&gt;COUNT(Dong11),0,IF(MID(OFFSET(TH!D$1,SMALL(Dong11,ROWS($1:54)),),4,1)="N",OFFSET(TH!I$1,SMALL(Dong11,ROWS($1:54)),),0))</f>
        <v>0</v>
      </c>
      <c r="H67" s="952">
        <f t="shared" ca="1" si="7"/>
        <v>0</v>
      </c>
      <c r="I67" s="951">
        <f ca="1">IF(ROWS($1:54)&gt;COUNT(Dong11),0,IF(MID(OFFSET(TH!D$1,SMALL(Dong11,ROWS($1:54)),),4,1)="X",OFFSET(TH!I$1,SMALL(Dong11,ROWS($1:54)),),0))</f>
        <v>0</v>
      </c>
      <c r="J67" s="952">
        <f t="shared" ca="1" si="8"/>
        <v>0</v>
      </c>
      <c r="K67" s="952">
        <f t="shared" ca="1" si="9"/>
        <v>0</v>
      </c>
      <c r="L67" s="952">
        <f t="shared" ca="1" si="10"/>
        <v>0</v>
      </c>
      <c r="M67" s="952"/>
      <c r="N67" s="335"/>
    </row>
    <row r="68" spans="1:14">
      <c r="A68" s="312" t="str">
        <f t="shared" ca="1" si="11"/>
        <v/>
      </c>
      <c r="B68" s="948" t="str">
        <f ca="1">IF(ROWS($1:55)&gt;COUNT(Dong11),"",OFFSET(TH!D$1,SMALL(Dong11,ROWS($1:55)),))</f>
        <v/>
      </c>
      <c r="C68" s="949" t="str">
        <f ca="1">IF(ROWS($1:55)&gt;COUNT(Dong11),"",OFFSET(TH!E$1,SMALL(Dong11,ROWS($1:55)),))</f>
        <v/>
      </c>
      <c r="D68" s="950" t="str">
        <f ca="1">IF(ROWS($1:55)&gt;COUNT(Dong11),"",OFFSET(TH!H$1,SMALL(Dong11,ROWS($1:55)),))</f>
        <v/>
      </c>
      <c r="E68" s="948" t="str">
        <f ca="1">IF(ROWS($1:55)&gt;COUNT(Dong11),"",IF(OFFSET(TH!L$1,SMALL(Dong11,ROWS($1:55)),)=$G$7,OFFSET(TH!M$1,SMALL(Dong11,ROWS($1:55)),),OFFSET(TH!L$1,SMALL(Dong11,ROWS($1:55)),)))</f>
        <v/>
      </c>
      <c r="F68" s="951">
        <f ca="1">IF(ROWS($1:55)&gt;COUNT(Dong11),0,OFFSET(TH!J$1,SMALL(Dong11,ROWS($1:55)),))</f>
        <v>0</v>
      </c>
      <c r="G68" s="951">
        <f ca="1">IF(ROWS($1:55)&gt;COUNT(Dong11),0,IF(MID(OFFSET(TH!D$1,SMALL(Dong11,ROWS($1:55)),),4,1)="N",OFFSET(TH!I$1,SMALL(Dong11,ROWS($1:55)),),0))</f>
        <v>0</v>
      </c>
      <c r="H68" s="952">
        <f t="shared" ca="1" si="7"/>
        <v>0</v>
      </c>
      <c r="I68" s="951">
        <f ca="1">IF(ROWS($1:55)&gt;COUNT(Dong11),0,IF(MID(OFFSET(TH!D$1,SMALL(Dong11,ROWS($1:55)),),4,1)="X",OFFSET(TH!I$1,SMALL(Dong11,ROWS($1:55)),),0))</f>
        <v>0</v>
      </c>
      <c r="J68" s="952">
        <f t="shared" ca="1" si="8"/>
        <v>0</v>
      </c>
      <c r="K68" s="952">
        <f t="shared" ca="1" si="9"/>
        <v>0</v>
      </c>
      <c r="L68" s="952">
        <f t="shared" ca="1" si="10"/>
        <v>0</v>
      </c>
      <c r="M68" s="952"/>
      <c r="N68" s="335"/>
    </row>
    <row r="69" spans="1:14">
      <c r="A69" s="312" t="str">
        <f t="shared" ca="1" si="11"/>
        <v/>
      </c>
      <c r="B69" s="948" t="str">
        <f ca="1">IF(ROWS($1:56)&gt;COUNT(Dong11),"",OFFSET(TH!D$1,SMALL(Dong11,ROWS($1:56)),))</f>
        <v/>
      </c>
      <c r="C69" s="949" t="str">
        <f ca="1">IF(ROWS($1:56)&gt;COUNT(Dong11),"",OFFSET(TH!E$1,SMALL(Dong11,ROWS($1:56)),))</f>
        <v/>
      </c>
      <c r="D69" s="950" t="str">
        <f ca="1">IF(ROWS($1:56)&gt;COUNT(Dong11),"",OFFSET(TH!H$1,SMALL(Dong11,ROWS($1:56)),))</f>
        <v/>
      </c>
      <c r="E69" s="948" t="str">
        <f ca="1">IF(ROWS($1:56)&gt;COUNT(Dong11),"",IF(OFFSET(TH!L$1,SMALL(Dong11,ROWS($1:56)),)=$G$7,OFFSET(TH!M$1,SMALL(Dong11,ROWS($1:56)),),OFFSET(TH!L$1,SMALL(Dong11,ROWS($1:56)),)))</f>
        <v/>
      </c>
      <c r="F69" s="951">
        <f ca="1">IF(ROWS($1:56)&gt;COUNT(Dong11),0,OFFSET(TH!J$1,SMALL(Dong11,ROWS($1:56)),))</f>
        <v>0</v>
      </c>
      <c r="G69" s="951">
        <f ca="1">IF(ROWS($1:56)&gt;COUNT(Dong11),0,IF(MID(OFFSET(TH!D$1,SMALL(Dong11,ROWS($1:56)),),4,1)="N",OFFSET(TH!I$1,SMALL(Dong11,ROWS($1:56)),),0))</f>
        <v>0</v>
      </c>
      <c r="H69" s="952">
        <f t="shared" ca="1" si="7"/>
        <v>0</v>
      </c>
      <c r="I69" s="951">
        <f ca="1">IF(ROWS($1:56)&gt;COUNT(Dong11),0,IF(MID(OFFSET(TH!D$1,SMALL(Dong11,ROWS($1:56)),),4,1)="X",OFFSET(TH!I$1,SMALL(Dong11,ROWS($1:56)),),0))</f>
        <v>0</v>
      </c>
      <c r="J69" s="952">
        <f t="shared" ca="1" si="8"/>
        <v>0</v>
      </c>
      <c r="K69" s="952">
        <f t="shared" ca="1" si="9"/>
        <v>0</v>
      </c>
      <c r="L69" s="952">
        <f t="shared" ca="1" si="10"/>
        <v>0</v>
      </c>
      <c r="M69" s="952"/>
      <c r="N69" s="335"/>
    </row>
    <row r="70" spans="1:14">
      <c r="A70" s="312" t="str">
        <f t="shared" ca="1" si="11"/>
        <v/>
      </c>
      <c r="B70" s="948" t="str">
        <f ca="1">IF(ROWS($1:57)&gt;COUNT(Dong11),"",OFFSET(TH!D$1,SMALL(Dong11,ROWS($1:57)),))</f>
        <v/>
      </c>
      <c r="C70" s="949" t="str">
        <f ca="1">IF(ROWS($1:57)&gt;COUNT(Dong11),"",OFFSET(TH!E$1,SMALL(Dong11,ROWS($1:57)),))</f>
        <v/>
      </c>
      <c r="D70" s="950" t="str">
        <f ca="1">IF(ROWS($1:57)&gt;COUNT(Dong11),"",OFFSET(TH!H$1,SMALL(Dong11,ROWS($1:57)),))</f>
        <v/>
      </c>
      <c r="E70" s="948" t="str">
        <f ca="1">IF(ROWS($1:57)&gt;COUNT(Dong11),"",IF(OFFSET(TH!L$1,SMALL(Dong11,ROWS($1:57)),)=$G$7,OFFSET(TH!M$1,SMALL(Dong11,ROWS($1:57)),),OFFSET(TH!L$1,SMALL(Dong11,ROWS($1:57)),)))</f>
        <v/>
      </c>
      <c r="F70" s="951">
        <f ca="1">IF(ROWS($1:57)&gt;COUNT(Dong11),0,OFFSET(TH!J$1,SMALL(Dong11,ROWS($1:57)),))</f>
        <v>0</v>
      </c>
      <c r="G70" s="951">
        <f ca="1">IF(ROWS($1:57)&gt;COUNT(Dong11),0,IF(MID(OFFSET(TH!D$1,SMALL(Dong11,ROWS($1:57)),),4,1)="N",OFFSET(TH!I$1,SMALL(Dong11,ROWS($1:57)),),0))</f>
        <v>0</v>
      </c>
      <c r="H70" s="952">
        <f t="shared" ca="1" si="7"/>
        <v>0</v>
      </c>
      <c r="I70" s="951">
        <f ca="1">IF(ROWS($1:57)&gt;COUNT(Dong11),0,IF(MID(OFFSET(TH!D$1,SMALL(Dong11,ROWS($1:57)),),4,1)="X",OFFSET(TH!I$1,SMALL(Dong11,ROWS($1:57)),),0))</f>
        <v>0</v>
      </c>
      <c r="J70" s="952">
        <f t="shared" ca="1" si="8"/>
        <v>0</v>
      </c>
      <c r="K70" s="952">
        <f t="shared" ca="1" si="9"/>
        <v>0</v>
      </c>
      <c r="L70" s="952">
        <f t="shared" ca="1" si="10"/>
        <v>0</v>
      </c>
      <c r="M70" s="952"/>
      <c r="N70" s="335"/>
    </row>
    <row r="71" spans="1:14">
      <c r="A71" s="312" t="str">
        <f t="shared" ca="1" si="11"/>
        <v/>
      </c>
      <c r="B71" s="948" t="str">
        <f ca="1">IF(ROWS($1:58)&gt;COUNT(Dong11),"",OFFSET(TH!D$1,SMALL(Dong11,ROWS($1:58)),))</f>
        <v/>
      </c>
      <c r="C71" s="949" t="str">
        <f ca="1">IF(ROWS($1:58)&gt;COUNT(Dong11),"",OFFSET(TH!E$1,SMALL(Dong11,ROWS($1:58)),))</f>
        <v/>
      </c>
      <c r="D71" s="950" t="str">
        <f ca="1">IF(ROWS($1:58)&gt;COUNT(Dong11),"",OFFSET(TH!H$1,SMALL(Dong11,ROWS($1:58)),))</f>
        <v/>
      </c>
      <c r="E71" s="948" t="str">
        <f ca="1">IF(ROWS($1:58)&gt;COUNT(Dong11),"",IF(OFFSET(TH!L$1,SMALL(Dong11,ROWS($1:58)),)=$G$7,OFFSET(TH!M$1,SMALL(Dong11,ROWS($1:58)),),OFFSET(TH!L$1,SMALL(Dong11,ROWS($1:58)),)))</f>
        <v/>
      </c>
      <c r="F71" s="951">
        <f ca="1">IF(ROWS($1:58)&gt;COUNT(Dong11),0,OFFSET(TH!J$1,SMALL(Dong11,ROWS($1:58)),))</f>
        <v>0</v>
      </c>
      <c r="G71" s="951">
        <f ca="1">IF(ROWS($1:58)&gt;COUNT(Dong11),0,IF(MID(OFFSET(TH!D$1,SMALL(Dong11,ROWS($1:58)),),4,1)="N",OFFSET(TH!I$1,SMALL(Dong11,ROWS($1:58)),),0))</f>
        <v>0</v>
      </c>
      <c r="H71" s="952">
        <f t="shared" ca="1" si="7"/>
        <v>0</v>
      </c>
      <c r="I71" s="951">
        <f ca="1">IF(ROWS($1:58)&gt;COUNT(Dong11),0,IF(MID(OFFSET(TH!D$1,SMALL(Dong11,ROWS($1:58)),),4,1)="X",OFFSET(TH!I$1,SMALL(Dong11,ROWS($1:58)),),0))</f>
        <v>0</v>
      </c>
      <c r="J71" s="952">
        <f t="shared" ca="1" si="8"/>
        <v>0</v>
      </c>
      <c r="K71" s="952">
        <f t="shared" ca="1" si="9"/>
        <v>0</v>
      </c>
      <c r="L71" s="952">
        <f t="shared" ca="1" si="10"/>
        <v>0</v>
      </c>
      <c r="M71" s="952"/>
      <c r="N71" s="335"/>
    </row>
    <row r="72" spans="1:14">
      <c r="A72" s="312" t="str">
        <f t="shared" ca="1" si="11"/>
        <v/>
      </c>
      <c r="B72" s="948" t="str">
        <f ca="1">IF(ROWS($1:59)&gt;COUNT(Dong11),"",OFFSET(TH!D$1,SMALL(Dong11,ROWS($1:59)),))</f>
        <v/>
      </c>
      <c r="C72" s="949" t="str">
        <f ca="1">IF(ROWS($1:59)&gt;COUNT(Dong11),"",OFFSET(TH!E$1,SMALL(Dong11,ROWS($1:59)),))</f>
        <v/>
      </c>
      <c r="D72" s="950" t="str">
        <f ca="1">IF(ROWS($1:59)&gt;COUNT(Dong11),"",OFFSET(TH!H$1,SMALL(Dong11,ROWS($1:59)),))</f>
        <v/>
      </c>
      <c r="E72" s="948" t="str">
        <f ca="1">IF(ROWS($1:59)&gt;COUNT(Dong11),"",IF(OFFSET(TH!L$1,SMALL(Dong11,ROWS($1:59)),)=$G$7,OFFSET(TH!M$1,SMALL(Dong11,ROWS($1:59)),),OFFSET(TH!L$1,SMALL(Dong11,ROWS($1:59)),)))</f>
        <v/>
      </c>
      <c r="F72" s="951">
        <f ca="1">IF(ROWS($1:59)&gt;COUNT(Dong11),0,OFFSET(TH!J$1,SMALL(Dong11,ROWS($1:59)),))</f>
        <v>0</v>
      </c>
      <c r="G72" s="951">
        <f ca="1">IF(ROWS($1:59)&gt;COUNT(Dong11),0,IF(MID(OFFSET(TH!D$1,SMALL(Dong11,ROWS($1:59)),),4,1)="N",OFFSET(TH!I$1,SMALL(Dong11,ROWS($1:59)),),0))</f>
        <v>0</v>
      </c>
      <c r="H72" s="952">
        <f t="shared" ca="1" si="7"/>
        <v>0</v>
      </c>
      <c r="I72" s="951">
        <f ca="1">IF(ROWS($1:59)&gt;COUNT(Dong11),0,IF(MID(OFFSET(TH!D$1,SMALL(Dong11,ROWS($1:59)),),4,1)="X",OFFSET(TH!I$1,SMALL(Dong11,ROWS($1:59)),),0))</f>
        <v>0</v>
      </c>
      <c r="J72" s="952">
        <f t="shared" ca="1" si="8"/>
        <v>0</v>
      </c>
      <c r="K72" s="952">
        <f t="shared" ca="1" si="9"/>
        <v>0</v>
      </c>
      <c r="L72" s="952">
        <f t="shared" ca="1" si="10"/>
        <v>0</v>
      </c>
      <c r="M72" s="952"/>
      <c r="N72" s="335"/>
    </row>
    <row r="73" spans="1:14">
      <c r="A73" s="312" t="str">
        <f>IF(B73="","",#REF!+1)</f>
        <v/>
      </c>
      <c r="B73" s="339"/>
      <c r="C73" s="340"/>
      <c r="D73" s="950"/>
      <c r="E73" s="341"/>
      <c r="F73" s="955"/>
      <c r="G73" s="946"/>
      <c r="H73" s="946"/>
      <c r="I73" s="946"/>
      <c r="J73" s="946"/>
      <c r="K73" s="946"/>
      <c r="L73" s="946"/>
      <c r="M73" s="956"/>
      <c r="N73" s="335"/>
    </row>
    <row r="74" spans="1:14">
      <c r="A74" s="343"/>
      <c r="B74" s="343"/>
      <c r="C74" s="343"/>
      <c r="D74" s="343" t="s">
        <v>224</v>
      </c>
      <c r="E74" s="936" t="s">
        <v>19</v>
      </c>
      <c r="F74" s="936" t="s">
        <v>19</v>
      </c>
      <c r="G74" s="957">
        <f ca="1">SUM(G14:G73)</f>
        <v>3458</v>
      </c>
      <c r="H74" s="957">
        <f ca="1">SUM(H14:H73)</f>
        <v>30776200</v>
      </c>
      <c r="I74" s="957">
        <f ca="1">SUM(I14:I73)</f>
        <v>0</v>
      </c>
      <c r="J74" s="957">
        <f ca="1">SUM(J14:J73)</f>
        <v>0</v>
      </c>
      <c r="K74" s="957">
        <f ca="1">K13+G74-I74</f>
        <v>3458</v>
      </c>
      <c r="L74" s="957">
        <f ca="1">L13+H74-J74</f>
        <v>30776200</v>
      </c>
      <c r="M74" s="343"/>
      <c r="N74" s="335"/>
    </row>
    <row r="75" spans="1:14">
      <c r="B75" s="344" t="s">
        <v>225</v>
      </c>
      <c r="G75" s="954"/>
      <c r="N75" s="335"/>
    </row>
    <row r="76" spans="1:14">
      <c r="B76" s="9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4"/>
      <c r="I76" s="954"/>
      <c r="N76" s="335"/>
    </row>
    <row r="77" spans="1:14">
      <c r="B77" s="325"/>
      <c r="C77" s="325"/>
      <c r="D77" s="325"/>
      <c r="F77" s="325"/>
      <c r="G77" s="959"/>
      <c r="H77" s="937"/>
      <c r="I77" s="960"/>
      <c r="J77" s="1106" t="str">
        <f ca="1">"Ngày 31 tháng  12  năm  "&amp;YEAR($A$14)</f>
        <v>Ngày 31 tháng  12  năm  1900</v>
      </c>
      <c r="K77" s="1106"/>
      <c r="L77" s="1106"/>
      <c r="M77" s="1106"/>
      <c r="N77" s="335"/>
    </row>
    <row r="78" spans="1:14">
      <c r="C78" s="325"/>
      <c r="D78" s="937" t="s">
        <v>11</v>
      </c>
      <c r="E78" s="1106" t="s">
        <v>12</v>
      </c>
      <c r="F78" s="1106"/>
      <c r="G78" s="1106"/>
      <c r="H78" s="1106"/>
      <c r="I78" s="1106"/>
      <c r="J78" s="1106" t="s">
        <v>109</v>
      </c>
      <c r="K78" s="1106"/>
      <c r="L78" s="1106"/>
      <c r="M78" s="1106"/>
      <c r="N78" s="335"/>
    </row>
    <row r="79" spans="1:14">
      <c r="C79" s="325"/>
      <c r="D79" s="937" t="s">
        <v>13</v>
      </c>
      <c r="E79" s="1106" t="s">
        <v>13</v>
      </c>
      <c r="F79" s="1106"/>
      <c r="G79" s="1106"/>
      <c r="H79" s="1106" t="s">
        <v>136</v>
      </c>
      <c r="I79" s="1106"/>
      <c r="J79" s="1106" t="s">
        <v>136</v>
      </c>
      <c r="K79" s="1106"/>
      <c r="L79" s="1106"/>
      <c r="M79" s="1106"/>
      <c r="N79" s="335"/>
    </row>
    <row r="80" spans="1:14">
      <c r="N80" s="346"/>
    </row>
    <row r="81" spans="4:14">
      <c r="E81" s="316"/>
    </row>
    <row r="83" spans="4:14" s="961" customFormat="1" ht="12.75">
      <c r="E83" s="962"/>
    </row>
    <row r="88" spans="4:14">
      <c r="D88" s="550" t="s">
        <v>151</v>
      </c>
      <c r="E88" s="550"/>
      <c r="J88" s="1107" t="s">
        <v>103</v>
      </c>
      <c r="K88" s="1107"/>
      <c r="L88" s="1107"/>
      <c r="M88" s="1107"/>
      <c r="N88" s="935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19" t="s">
        <v>226</v>
      </c>
      <c r="G1" s="1119"/>
      <c r="H1" s="1119"/>
      <c r="I1" s="1119"/>
      <c r="J1" s="1119"/>
      <c r="K1" s="351"/>
      <c r="L1" s="352"/>
    </row>
    <row r="2" spans="1:12" ht="15" customHeight="1">
      <c r="A2" s="583" t="str">
        <f>TH!A2</f>
        <v>Địa chỉ: 1A227/1 Ấp 1, Phạm Văn Hai, Bình Chánh, TPHCM</v>
      </c>
      <c r="B2" s="353"/>
      <c r="C2" s="353"/>
      <c r="D2" s="353"/>
      <c r="E2" s="354"/>
      <c r="F2" s="111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18"/>
      <c r="H2" s="1118"/>
      <c r="I2" s="1118"/>
      <c r="J2" s="1118"/>
      <c r="K2" s="351"/>
    </row>
    <row r="3" spans="1:12" ht="15">
      <c r="A3" s="353"/>
      <c r="B3" s="353"/>
      <c r="C3" s="353"/>
      <c r="D3" s="353"/>
      <c r="E3" s="354"/>
      <c r="F3" s="1118"/>
      <c r="G3" s="1118"/>
      <c r="H3" s="1118"/>
      <c r="I3" s="1118"/>
      <c r="J3" s="1118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VLOOKUP($E$7,NXT!$C$12:$L$412,2,0)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20" t="s">
        <v>231</v>
      </c>
      <c r="B9" s="1121"/>
      <c r="C9" s="1121"/>
      <c r="D9" s="1121"/>
      <c r="E9" s="361"/>
      <c r="F9" s="355"/>
      <c r="G9" s="362"/>
      <c r="H9" s="362"/>
      <c r="I9" s="362"/>
      <c r="J9" s="363"/>
      <c r="K9" s="363"/>
    </row>
    <row r="10" spans="1:12" ht="19.5" customHeight="1">
      <c r="A10" s="1122" t="s">
        <v>232</v>
      </c>
      <c r="B10" s="1123" t="s">
        <v>233</v>
      </c>
      <c r="C10" s="1125" t="s">
        <v>15</v>
      </c>
      <c r="D10" s="1126"/>
      <c r="E10" s="1127" t="s">
        <v>0</v>
      </c>
      <c r="F10" s="1136" t="s">
        <v>234</v>
      </c>
      <c r="G10" s="1130" t="s">
        <v>203</v>
      </c>
      <c r="H10" s="1130"/>
      <c r="I10" s="1126"/>
      <c r="J10" s="1131" t="s">
        <v>235</v>
      </c>
      <c r="K10" s="364"/>
      <c r="L10" s="365" t="s">
        <v>220</v>
      </c>
    </row>
    <row r="11" spans="1:12" ht="19.5" customHeight="1">
      <c r="A11" s="1122"/>
      <c r="B11" s="1124"/>
      <c r="C11" s="366" t="s">
        <v>217</v>
      </c>
      <c r="D11" s="366" t="s">
        <v>218</v>
      </c>
      <c r="E11" s="1128"/>
      <c r="F11" s="1137"/>
      <c r="G11" s="367" t="s">
        <v>217</v>
      </c>
      <c r="H11" s="367" t="s">
        <v>218</v>
      </c>
      <c r="I11" s="367" t="s">
        <v>219</v>
      </c>
      <c r="J11" s="1132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VLOOKUP($E$7,NXT!$C$12:$L$412,3,0)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27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27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27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27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27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27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27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27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27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27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27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27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27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27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27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27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27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28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3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4"/>
      <c r="C35" s="1134"/>
      <c r="D35" s="1134"/>
      <c r="E35" s="1134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5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5" t="s">
        <v>12</v>
      </c>
      <c r="F37" s="1135"/>
      <c r="G37" s="362"/>
      <c r="I37" s="554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29" t="s">
        <v>13</v>
      </c>
      <c r="F38" s="1129"/>
      <c r="G38" s="362"/>
      <c r="I38" s="555" t="s">
        <v>136</v>
      </c>
      <c r="J38" s="553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56" t="s">
        <v>327</v>
      </c>
      <c r="H46" s="552"/>
      <c r="I46" s="551" t="s">
        <v>103</v>
      </c>
      <c r="J46" s="55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4" customWidth="1"/>
    <col min="2" max="2" width="27.5703125" style="704" customWidth="1"/>
    <col min="3" max="3" width="10.140625" style="717" customWidth="1"/>
    <col min="4" max="4" width="9.5703125" style="718" customWidth="1"/>
    <col min="5" max="7" width="7.140625" style="754" customWidth="1"/>
    <col min="8" max="8" width="8.5703125" style="704" customWidth="1"/>
    <col min="9" max="10" width="8.42578125" style="704" customWidth="1"/>
    <col min="11" max="11" width="8" style="704" customWidth="1"/>
    <col min="12" max="12" width="7.85546875" style="719" customWidth="1"/>
    <col min="13" max="13" width="2" style="716" customWidth="1"/>
    <col min="14" max="14" width="28.140625" style="704" customWidth="1"/>
    <col min="15" max="15" width="10.140625" style="717" customWidth="1"/>
    <col min="16" max="16" width="8.140625" style="754" customWidth="1"/>
    <col min="17" max="17" width="7.5703125" style="287" customWidth="1"/>
    <col min="18" max="18" width="13.28515625" style="704" customWidth="1"/>
    <col min="19" max="19" width="14.28515625" style="704" customWidth="1"/>
    <col min="20" max="20" width="16.7109375" style="704" customWidth="1"/>
    <col min="21" max="16384" width="10.28515625" style="704"/>
  </cols>
  <sheetData>
    <row r="1" spans="1:20" ht="18" hidden="1" customHeight="1">
      <c r="A1" s="535" t="str">
        <f>TH!$A$1</f>
        <v>Đơn vị: CÔNG TY TNHH SX TM KIM DUNG PHÁT</v>
      </c>
      <c r="B1" s="705"/>
      <c r="C1" s="700"/>
      <c r="H1" s="287"/>
      <c r="I1" s="563"/>
      <c r="J1" s="563"/>
      <c r="K1" s="287"/>
      <c r="M1" s="719"/>
      <c r="N1" s="287"/>
      <c r="O1" s="700"/>
    </row>
    <row r="2" spans="1:20" ht="18.75" customHeight="1">
      <c r="A2" s="706" t="s">
        <v>1302</v>
      </c>
      <c r="B2" s="706"/>
      <c r="C2" s="700"/>
      <c r="E2" s="800"/>
      <c r="F2" s="800"/>
      <c r="G2" s="800"/>
      <c r="H2" s="706"/>
      <c r="I2" s="706"/>
      <c r="J2" s="706"/>
      <c r="K2" s="706"/>
      <c r="M2" s="719"/>
      <c r="N2" s="287"/>
      <c r="O2" s="700"/>
    </row>
    <row r="3" spans="1:20" ht="12.75" customHeight="1">
      <c r="A3" s="748"/>
      <c r="B3" s="742"/>
      <c r="C3" s="748"/>
      <c r="D3" s="748"/>
      <c r="E3" s="801"/>
      <c r="F3" s="801"/>
      <c r="G3" s="801"/>
      <c r="H3" s="742"/>
      <c r="I3" s="721"/>
      <c r="J3" s="721"/>
      <c r="K3" s="742"/>
      <c r="M3" s="719"/>
      <c r="N3" s="714"/>
      <c r="O3" s="748"/>
      <c r="P3" s="755"/>
      <c r="Q3" s="722"/>
      <c r="R3" s="748"/>
      <c r="S3" s="714"/>
    </row>
    <row r="4" spans="1:20" s="417" customFormat="1" ht="21" customHeight="1">
      <c r="A4" s="1138" t="s">
        <v>35</v>
      </c>
      <c r="B4" s="1138" t="s">
        <v>239</v>
      </c>
      <c r="C4" s="1138" t="s">
        <v>753</v>
      </c>
      <c r="D4" s="1138" t="s">
        <v>754</v>
      </c>
      <c r="E4" s="1139" t="s">
        <v>755</v>
      </c>
      <c r="F4" s="1140"/>
      <c r="G4" s="1140"/>
      <c r="H4" s="1141"/>
      <c r="I4" s="1138" t="s">
        <v>240</v>
      </c>
      <c r="J4" s="1145" t="s">
        <v>765</v>
      </c>
      <c r="K4" s="1138" t="s">
        <v>759</v>
      </c>
      <c r="L4" s="416"/>
      <c r="M4" s="416"/>
      <c r="N4" s="1138" t="s">
        <v>239</v>
      </c>
      <c r="O4" s="1138" t="s">
        <v>760</v>
      </c>
      <c r="P4" s="1138" t="s">
        <v>198</v>
      </c>
      <c r="Q4" s="1138" t="s">
        <v>241</v>
      </c>
      <c r="R4" s="1138" t="s">
        <v>242</v>
      </c>
    </row>
    <row r="5" spans="1:20" s="417" customFormat="1" ht="21" customHeight="1">
      <c r="A5" s="1138"/>
      <c r="B5" s="1138"/>
      <c r="C5" s="1138"/>
      <c r="D5" s="1138"/>
      <c r="E5" s="756" t="s">
        <v>756</v>
      </c>
      <c r="F5" s="756" t="s">
        <v>757</v>
      </c>
      <c r="G5" s="756" t="s">
        <v>758</v>
      </c>
      <c r="H5" s="415" t="s">
        <v>763</v>
      </c>
      <c r="I5" s="1138"/>
      <c r="J5" s="1146"/>
      <c r="K5" s="1138"/>
      <c r="L5" s="416"/>
      <c r="M5" s="416"/>
      <c r="N5" s="1138"/>
      <c r="O5" s="1138"/>
      <c r="P5" s="1138"/>
      <c r="Q5" s="1138"/>
      <c r="R5" s="1138"/>
    </row>
    <row r="6" spans="1:20" ht="16.5" customHeight="1">
      <c r="A6" s="708">
        <f>IF(B6&lt;&gt;"",ROW()-(ROW()-1),"")</f>
        <v>1</v>
      </c>
      <c r="B6" s="289" t="s">
        <v>512</v>
      </c>
      <c r="C6" s="724">
        <v>42373</v>
      </c>
      <c r="D6" s="725" t="s">
        <v>859</v>
      </c>
      <c r="E6" s="802">
        <v>46</v>
      </c>
      <c r="F6" s="802">
        <v>42</v>
      </c>
      <c r="G6" s="802">
        <v>24.5</v>
      </c>
      <c r="H6" s="798">
        <f>IF(G6&lt;&gt;"",ROUND(((E6+F6)*2+5)*(F6+G6+3)/10000,2),ROUND(E6*F6/10000,2))</f>
        <v>1.26</v>
      </c>
      <c r="I6" s="709">
        <v>695</v>
      </c>
      <c r="J6" s="709">
        <f>H6*I6</f>
        <v>875.7</v>
      </c>
      <c r="K6" s="709">
        <f t="shared" ref="K6:K69" si="0">H6*$R$43</f>
        <v>10512.108116819038</v>
      </c>
      <c r="L6" s="626">
        <v>8500</v>
      </c>
      <c r="M6" s="723"/>
      <c r="N6" s="418" t="s">
        <v>706</v>
      </c>
      <c r="O6" s="724">
        <v>42371</v>
      </c>
      <c r="P6" s="299">
        <v>5441</v>
      </c>
      <c r="Q6" s="744">
        <v>7300</v>
      </c>
      <c r="R6" s="8">
        <f t="shared" ref="R6:R25" si="1">ROUND(P6*Q6,0)</f>
        <v>39719300</v>
      </c>
      <c r="S6" s="704">
        <f>I6*L6</f>
        <v>5907500</v>
      </c>
      <c r="T6" s="704">
        <f>I6*K6</f>
        <v>7305915.1411892315</v>
      </c>
    </row>
    <row r="7" spans="1:20" ht="16.5" customHeight="1">
      <c r="A7" s="708">
        <f>IF(B7&lt;&gt;"",A6+1,"")</f>
        <v>2</v>
      </c>
      <c r="B7" s="291" t="s">
        <v>434</v>
      </c>
      <c r="C7" s="726">
        <v>42373</v>
      </c>
      <c r="D7" s="727" t="s">
        <v>859</v>
      </c>
      <c r="E7" s="803">
        <v>46</v>
      </c>
      <c r="F7" s="802">
        <v>42</v>
      </c>
      <c r="G7" s="802">
        <v>13</v>
      </c>
      <c r="H7" s="798">
        <f t="shared" ref="H7:H70" si="2">IF(G7&lt;&gt;"",ROUND(((E7+F7)*2+5)*(F7+G7+3)/10000,2),ROUND(E7*F7/10000,2))</f>
        <v>1.05</v>
      </c>
      <c r="I7" s="257">
        <v>2840</v>
      </c>
      <c r="J7" s="709">
        <f t="shared" ref="J7:J54" si="3">H7*I7</f>
        <v>2982</v>
      </c>
      <c r="K7" s="709">
        <f t="shared" si="0"/>
        <v>8760.0900973491971</v>
      </c>
      <c r="L7" s="626">
        <v>6900</v>
      </c>
      <c r="M7" s="723"/>
      <c r="N7" s="291" t="s">
        <v>712</v>
      </c>
      <c r="O7" s="724">
        <v>42379</v>
      </c>
      <c r="P7" s="757">
        <v>12500</v>
      </c>
      <c r="Q7" s="743">
        <v>7600</v>
      </c>
      <c r="R7" s="8">
        <f t="shared" si="1"/>
        <v>95000000</v>
      </c>
      <c r="S7" s="704">
        <f t="shared" ref="S7:S70" si="4">I7*L7</f>
        <v>19596000</v>
      </c>
      <c r="T7" s="704">
        <f t="shared" ref="T7:T70" si="5">I7*K7</f>
        <v>24878655.876471721</v>
      </c>
    </row>
    <row r="8" spans="1:20" ht="16.5" customHeight="1">
      <c r="A8" s="708">
        <f t="shared" ref="A8:A60" si="6">IF(B8&lt;&gt;"",A7+1,"")</f>
        <v>3</v>
      </c>
      <c r="B8" s="291" t="s">
        <v>894</v>
      </c>
      <c r="C8" s="726">
        <v>42373</v>
      </c>
      <c r="D8" s="727" t="s">
        <v>895</v>
      </c>
      <c r="E8" s="803">
        <v>37.5</v>
      </c>
      <c r="F8" s="802">
        <v>30.5</v>
      </c>
      <c r="G8" s="802">
        <v>29.5</v>
      </c>
      <c r="H8" s="798">
        <f t="shared" si="2"/>
        <v>0.89</v>
      </c>
      <c r="I8" s="257">
        <v>500</v>
      </c>
      <c r="J8" s="709">
        <f t="shared" si="3"/>
        <v>445</v>
      </c>
      <c r="K8" s="709">
        <f t="shared" si="0"/>
        <v>7425.2192253721769</v>
      </c>
      <c r="L8" s="626">
        <v>11000</v>
      </c>
      <c r="M8" s="723"/>
      <c r="N8" s="419" t="s">
        <v>706</v>
      </c>
      <c r="O8" s="724">
        <v>42419</v>
      </c>
      <c r="P8" s="757">
        <v>1510</v>
      </c>
      <c r="Q8" s="743">
        <v>7300</v>
      </c>
      <c r="R8" s="8">
        <f t="shared" si="1"/>
        <v>11023000</v>
      </c>
      <c r="S8" s="704">
        <f t="shared" si="4"/>
        <v>5500000</v>
      </c>
      <c r="T8" s="704">
        <f t="shared" si="5"/>
        <v>3712609.6126860883</v>
      </c>
    </row>
    <row r="9" spans="1:20" ht="16.5" customHeight="1">
      <c r="A9" s="708">
        <f t="shared" si="6"/>
        <v>4</v>
      </c>
      <c r="B9" s="291" t="s">
        <v>1474</v>
      </c>
      <c r="C9" s="726">
        <v>42374</v>
      </c>
      <c r="D9" s="727" t="s">
        <v>896</v>
      </c>
      <c r="E9" s="803">
        <v>49</v>
      </c>
      <c r="F9" s="802">
        <v>38</v>
      </c>
      <c r="G9" s="802">
        <v>12</v>
      </c>
      <c r="H9" s="798">
        <f t="shared" si="2"/>
        <v>0.95</v>
      </c>
      <c r="I9" s="257">
        <v>716</v>
      </c>
      <c r="J9" s="709">
        <f t="shared" si="3"/>
        <v>680.19999999999993</v>
      </c>
      <c r="K9" s="709">
        <f t="shared" si="0"/>
        <v>7925.7958023635592</v>
      </c>
      <c r="L9" s="626">
        <v>10500</v>
      </c>
      <c r="M9" s="723"/>
      <c r="N9" s="419" t="s">
        <v>706</v>
      </c>
      <c r="O9" s="724">
        <v>42419</v>
      </c>
      <c r="P9" s="757">
        <v>940</v>
      </c>
      <c r="Q9" s="743">
        <v>7200</v>
      </c>
      <c r="R9" s="8">
        <f t="shared" si="1"/>
        <v>6768000</v>
      </c>
      <c r="S9" s="704">
        <f t="shared" si="4"/>
        <v>7518000</v>
      </c>
      <c r="T9" s="704">
        <f t="shared" si="5"/>
        <v>5674869.7944923081</v>
      </c>
    </row>
    <row r="10" spans="1:20" ht="16.5" customHeight="1">
      <c r="A10" s="708">
        <f t="shared" si="6"/>
        <v>5</v>
      </c>
      <c r="B10" s="291" t="s">
        <v>1474</v>
      </c>
      <c r="C10" s="726">
        <v>42374</v>
      </c>
      <c r="D10" s="727" t="s">
        <v>896</v>
      </c>
      <c r="E10" s="803">
        <v>49</v>
      </c>
      <c r="F10" s="802">
        <v>38</v>
      </c>
      <c r="G10" s="802">
        <v>13</v>
      </c>
      <c r="H10" s="798">
        <f t="shared" si="2"/>
        <v>0.97</v>
      </c>
      <c r="I10" s="257">
        <v>732</v>
      </c>
      <c r="J10" s="709">
        <f t="shared" si="3"/>
        <v>710.04</v>
      </c>
      <c r="K10" s="709">
        <f t="shared" si="0"/>
        <v>8092.654661360687</v>
      </c>
      <c r="L10" s="626">
        <v>10500</v>
      </c>
      <c r="M10" s="723"/>
      <c r="N10" s="419" t="s">
        <v>706</v>
      </c>
      <c r="O10" s="724">
        <v>42420</v>
      </c>
      <c r="P10" s="757">
        <v>2510</v>
      </c>
      <c r="Q10" s="743">
        <v>7200</v>
      </c>
      <c r="R10" s="8">
        <f t="shared" si="1"/>
        <v>18072000</v>
      </c>
      <c r="S10" s="704">
        <f t="shared" si="4"/>
        <v>7686000</v>
      </c>
      <c r="T10" s="704">
        <f t="shared" si="5"/>
        <v>5923823.2121160226</v>
      </c>
    </row>
    <row r="11" spans="1:20" ht="16.5" customHeight="1">
      <c r="A11" s="708">
        <f t="shared" si="6"/>
        <v>6</v>
      </c>
      <c r="B11" s="291" t="s">
        <v>419</v>
      </c>
      <c r="C11" s="726">
        <v>42374</v>
      </c>
      <c r="D11" s="727" t="s">
        <v>897</v>
      </c>
      <c r="E11" s="803">
        <v>52</v>
      </c>
      <c r="F11" s="802">
        <v>24.5</v>
      </c>
      <c r="G11" s="802">
        <v>24.5</v>
      </c>
      <c r="H11" s="798">
        <f t="shared" si="2"/>
        <v>0.82</v>
      </c>
      <c r="I11" s="257">
        <v>626</v>
      </c>
      <c r="J11" s="709">
        <f t="shared" si="3"/>
        <v>513.31999999999994</v>
      </c>
      <c r="K11" s="709">
        <f t="shared" si="0"/>
        <v>6841.2132188822297</v>
      </c>
      <c r="L11" s="626">
        <v>5000</v>
      </c>
      <c r="M11" s="723"/>
      <c r="N11" s="291" t="s">
        <v>712</v>
      </c>
      <c r="O11" s="724">
        <v>42422</v>
      </c>
      <c r="P11" s="757">
        <f>25567-P7</f>
        <v>13067</v>
      </c>
      <c r="Q11" s="743">
        <v>7600</v>
      </c>
      <c r="R11" s="8">
        <f t="shared" si="1"/>
        <v>99309200</v>
      </c>
      <c r="S11" s="704">
        <f t="shared" si="4"/>
        <v>3130000</v>
      </c>
      <c r="T11" s="704">
        <f t="shared" si="5"/>
        <v>4282599.4750202755</v>
      </c>
    </row>
    <row r="12" spans="1:20" ht="16.5" customHeight="1">
      <c r="A12" s="708">
        <f t="shared" si="6"/>
        <v>7</v>
      </c>
      <c r="B12" s="291" t="s">
        <v>422</v>
      </c>
      <c r="C12" s="726">
        <v>42374</v>
      </c>
      <c r="D12" s="727" t="s">
        <v>897</v>
      </c>
      <c r="E12" s="803">
        <v>52</v>
      </c>
      <c r="F12" s="802">
        <v>32</v>
      </c>
      <c r="G12" s="802">
        <v>21</v>
      </c>
      <c r="H12" s="798">
        <f t="shared" si="2"/>
        <v>0.97</v>
      </c>
      <c r="I12" s="257">
        <v>613</v>
      </c>
      <c r="J12" s="709">
        <f t="shared" si="3"/>
        <v>594.61</v>
      </c>
      <c r="K12" s="709">
        <f t="shared" si="0"/>
        <v>8092.654661360687</v>
      </c>
      <c r="L12" s="626">
        <v>5800</v>
      </c>
      <c r="M12" s="723"/>
      <c r="N12" s="419" t="s">
        <v>706</v>
      </c>
      <c r="O12" s="724">
        <v>42423</v>
      </c>
      <c r="P12" s="757">
        <v>2510</v>
      </c>
      <c r="Q12" s="743">
        <v>7200</v>
      </c>
      <c r="R12" s="8">
        <f t="shared" si="1"/>
        <v>18072000</v>
      </c>
      <c r="S12" s="704">
        <f t="shared" si="4"/>
        <v>3555400</v>
      </c>
      <c r="T12" s="704">
        <f t="shared" si="5"/>
        <v>4960797.3074141014</v>
      </c>
    </row>
    <row r="13" spans="1:20" ht="16.5" customHeight="1">
      <c r="A13" s="708">
        <f t="shared" si="6"/>
        <v>8</v>
      </c>
      <c r="B13" s="291" t="s">
        <v>624</v>
      </c>
      <c r="C13" s="726">
        <v>42374</v>
      </c>
      <c r="D13" s="727" t="s">
        <v>897</v>
      </c>
      <c r="E13" s="803">
        <v>50</v>
      </c>
      <c r="F13" s="802">
        <v>25</v>
      </c>
      <c r="G13" s="802">
        <v>30</v>
      </c>
      <c r="H13" s="798">
        <f t="shared" si="2"/>
        <v>0.9</v>
      </c>
      <c r="I13" s="257">
        <v>612</v>
      </c>
      <c r="J13" s="709">
        <f t="shared" si="3"/>
        <v>550.80000000000007</v>
      </c>
      <c r="K13" s="709">
        <f t="shared" si="0"/>
        <v>7508.6486548707408</v>
      </c>
      <c r="L13" s="626">
        <v>5600</v>
      </c>
      <c r="M13" s="723"/>
      <c r="N13" s="419" t="s">
        <v>706</v>
      </c>
      <c r="O13" s="724">
        <v>42424</v>
      </c>
      <c r="P13" s="757">
        <v>2510</v>
      </c>
      <c r="Q13" s="743">
        <v>7200</v>
      </c>
      <c r="R13" s="8">
        <f t="shared" si="1"/>
        <v>18072000</v>
      </c>
      <c r="S13" s="704">
        <f t="shared" si="4"/>
        <v>3427200</v>
      </c>
      <c r="T13" s="704">
        <f t="shared" si="5"/>
        <v>4595292.9767808933</v>
      </c>
    </row>
    <row r="14" spans="1:20" ht="16.5" customHeight="1">
      <c r="A14" s="708">
        <f t="shared" si="6"/>
        <v>9</v>
      </c>
      <c r="B14" s="291" t="s">
        <v>419</v>
      </c>
      <c r="C14" s="726">
        <v>42374</v>
      </c>
      <c r="D14" s="727" t="s">
        <v>897</v>
      </c>
      <c r="E14" s="803">
        <v>52</v>
      </c>
      <c r="F14" s="802">
        <v>24.5</v>
      </c>
      <c r="G14" s="802">
        <v>24.5</v>
      </c>
      <c r="H14" s="798">
        <f t="shared" si="2"/>
        <v>0.82</v>
      </c>
      <c r="I14" s="257">
        <v>905</v>
      </c>
      <c r="J14" s="709">
        <f t="shared" si="3"/>
        <v>742.09999999999991</v>
      </c>
      <c r="K14" s="709">
        <f t="shared" si="0"/>
        <v>6841.2132188822297</v>
      </c>
      <c r="L14" s="626">
        <v>5000</v>
      </c>
      <c r="M14" s="723"/>
      <c r="N14" s="419" t="s">
        <v>706</v>
      </c>
      <c r="O14" s="724">
        <v>42430</v>
      </c>
      <c r="P14" s="757">
        <v>2267</v>
      </c>
      <c r="Q14" s="743">
        <v>7200</v>
      </c>
      <c r="R14" s="8">
        <f t="shared" si="1"/>
        <v>16322400</v>
      </c>
      <c r="S14" s="704">
        <f t="shared" si="4"/>
        <v>4525000</v>
      </c>
      <c r="T14" s="704">
        <f t="shared" si="5"/>
        <v>6191297.9630884184</v>
      </c>
    </row>
    <row r="15" spans="1:20" ht="16.5" customHeight="1">
      <c r="A15" s="708">
        <f t="shared" si="6"/>
        <v>10</v>
      </c>
      <c r="B15" s="291" t="s">
        <v>444</v>
      </c>
      <c r="C15" s="726">
        <v>42374</v>
      </c>
      <c r="D15" s="727" t="s">
        <v>897</v>
      </c>
      <c r="E15" s="803">
        <v>52</v>
      </c>
      <c r="F15" s="802">
        <v>26.5</v>
      </c>
      <c r="G15" s="802">
        <v>26.5</v>
      </c>
      <c r="H15" s="798">
        <f t="shared" si="2"/>
        <v>0.91</v>
      </c>
      <c r="I15" s="257">
        <v>642</v>
      </c>
      <c r="J15" s="709">
        <f t="shared" si="3"/>
        <v>584.22</v>
      </c>
      <c r="K15" s="709">
        <f t="shared" si="0"/>
        <v>7592.0780843693046</v>
      </c>
      <c r="L15" s="626">
        <v>5550</v>
      </c>
      <c r="M15" s="723"/>
      <c r="N15" s="419" t="s">
        <v>706</v>
      </c>
      <c r="O15" s="724">
        <v>42432</v>
      </c>
      <c r="P15" s="757">
        <v>2186</v>
      </c>
      <c r="Q15" s="743">
        <v>7200</v>
      </c>
      <c r="R15" s="8">
        <f t="shared" si="1"/>
        <v>15739200</v>
      </c>
      <c r="S15" s="704">
        <f t="shared" si="4"/>
        <v>3563100</v>
      </c>
      <c r="T15" s="704">
        <f t="shared" si="5"/>
        <v>4874114.1301650936</v>
      </c>
    </row>
    <row r="16" spans="1:20" ht="16.5" customHeight="1">
      <c r="A16" s="708">
        <f t="shared" si="6"/>
        <v>11</v>
      </c>
      <c r="B16" s="291" t="s">
        <v>466</v>
      </c>
      <c r="C16" s="726">
        <v>42375</v>
      </c>
      <c r="D16" s="727" t="s">
        <v>898</v>
      </c>
      <c r="E16" s="803">
        <v>37.5</v>
      </c>
      <c r="F16" s="802">
        <v>25.3</v>
      </c>
      <c r="G16" s="802">
        <v>23.9</v>
      </c>
      <c r="H16" s="798">
        <f t="shared" si="2"/>
        <v>0.68</v>
      </c>
      <c r="I16" s="257">
        <v>1580</v>
      </c>
      <c r="J16" s="709">
        <f t="shared" si="3"/>
        <v>1074.4000000000001</v>
      </c>
      <c r="K16" s="709">
        <f t="shared" si="0"/>
        <v>5673.2012059023382</v>
      </c>
      <c r="L16" s="626">
        <v>5900</v>
      </c>
      <c r="M16" s="723"/>
      <c r="N16" s="419" t="s">
        <v>706</v>
      </c>
      <c r="O16" s="724">
        <v>42438</v>
      </c>
      <c r="P16" s="757">
        <v>2409</v>
      </c>
      <c r="Q16" s="743">
        <v>7200</v>
      </c>
      <c r="R16" s="8">
        <f t="shared" si="1"/>
        <v>17344800</v>
      </c>
      <c r="S16" s="704">
        <f t="shared" si="4"/>
        <v>9322000</v>
      </c>
      <c r="T16" s="704">
        <f t="shared" si="5"/>
        <v>8963657.905325694</v>
      </c>
    </row>
    <row r="17" spans="1:20" ht="16.5" customHeight="1">
      <c r="A17" s="708">
        <f t="shared" si="6"/>
        <v>12</v>
      </c>
      <c r="B17" s="291" t="s">
        <v>542</v>
      </c>
      <c r="C17" s="726">
        <v>42376</v>
      </c>
      <c r="D17" s="727" t="s">
        <v>899</v>
      </c>
      <c r="E17" s="803">
        <v>33.700000000000003</v>
      </c>
      <c r="F17" s="802">
        <v>22.7</v>
      </c>
      <c r="G17" s="802">
        <v>19.3</v>
      </c>
      <c r="H17" s="798">
        <f t="shared" si="2"/>
        <v>0.53</v>
      </c>
      <c r="I17" s="257">
        <v>358</v>
      </c>
      <c r="J17" s="709">
        <f t="shared" si="3"/>
        <v>189.74</v>
      </c>
      <c r="K17" s="709">
        <f t="shared" si="0"/>
        <v>4421.7597634238809</v>
      </c>
      <c r="L17" s="626">
        <v>4900</v>
      </c>
      <c r="M17" s="723"/>
      <c r="N17" s="291" t="s">
        <v>712</v>
      </c>
      <c r="O17" s="724">
        <v>42439</v>
      </c>
      <c r="P17" s="757">
        <v>18000</v>
      </c>
      <c r="Q17" s="743">
        <v>8800</v>
      </c>
      <c r="R17" s="8">
        <f t="shared" si="1"/>
        <v>158400000</v>
      </c>
      <c r="S17" s="704">
        <f t="shared" si="4"/>
        <v>1754200</v>
      </c>
      <c r="T17" s="704">
        <f t="shared" si="5"/>
        <v>1582989.9953057494</v>
      </c>
    </row>
    <row r="18" spans="1:20" ht="16.5" customHeight="1">
      <c r="A18" s="708">
        <f t="shared" si="6"/>
        <v>13</v>
      </c>
      <c r="B18" s="291" t="s">
        <v>679</v>
      </c>
      <c r="C18" s="726">
        <v>42376</v>
      </c>
      <c r="D18" s="727" t="s">
        <v>900</v>
      </c>
      <c r="E18" s="803">
        <v>61</v>
      </c>
      <c r="F18" s="802">
        <v>36</v>
      </c>
      <c r="G18" s="802">
        <v>43</v>
      </c>
      <c r="H18" s="798">
        <f t="shared" si="2"/>
        <v>1.63</v>
      </c>
      <c r="I18" s="257">
        <v>203</v>
      </c>
      <c r="J18" s="709">
        <f t="shared" si="3"/>
        <v>330.89</v>
      </c>
      <c r="K18" s="709">
        <f t="shared" si="0"/>
        <v>13598.997008265897</v>
      </c>
      <c r="L18" s="626">
        <v>8900</v>
      </c>
      <c r="M18" s="723"/>
      <c r="N18" s="419" t="s">
        <v>706</v>
      </c>
      <c r="O18" s="724">
        <v>42440</v>
      </c>
      <c r="P18" s="757">
        <v>2428</v>
      </c>
      <c r="Q18" s="743">
        <v>7200</v>
      </c>
      <c r="R18" s="8">
        <f t="shared" si="1"/>
        <v>17481600</v>
      </c>
      <c r="S18" s="704">
        <f t="shared" si="4"/>
        <v>1806700</v>
      </c>
      <c r="T18" s="704">
        <f t="shared" si="5"/>
        <v>2760596.3926779772</v>
      </c>
    </row>
    <row r="19" spans="1:20" ht="16.5" customHeight="1">
      <c r="A19" s="708">
        <f t="shared" si="6"/>
        <v>14</v>
      </c>
      <c r="B19" s="291" t="s">
        <v>680</v>
      </c>
      <c r="C19" s="726">
        <v>42376</v>
      </c>
      <c r="D19" s="727" t="s">
        <v>900</v>
      </c>
      <c r="E19" s="803">
        <v>61</v>
      </c>
      <c r="F19" s="802">
        <v>49.5</v>
      </c>
      <c r="G19" s="802">
        <v>46</v>
      </c>
      <c r="H19" s="798">
        <f t="shared" si="2"/>
        <v>2.23</v>
      </c>
      <c r="I19" s="257">
        <v>104</v>
      </c>
      <c r="J19" s="709">
        <f t="shared" si="3"/>
        <v>231.92</v>
      </c>
      <c r="K19" s="709">
        <f t="shared" si="0"/>
        <v>18604.762778179724</v>
      </c>
      <c r="L19" s="626">
        <v>11500</v>
      </c>
      <c r="M19" s="723"/>
      <c r="N19" s="419" t="s">
        <v>706</v>
      </c>
      <c r="O19" s="724">
        <v>42441</v>
      </c>
      <c r="P19" s="757">
        <v>2260</v>
      </c>
      <c r="Q19" s="743">
        <v>7200</v>
      </c>
      <c r="R19" s="8">
        <f t="shared" si="1"/>
        <v>16272000</v>
      </c>
      <c r="S19" s="704">
        <f t="shared" si="4"/>
        <v>1196000</v>
      </c>
      <c r="T19" s="704">
        <f t="shared" si="5"/>
        <v>1934895.3289306914</v>
      </c>
    </row>
    <row r="20" spans="1:20" ht="16.5" customHeight="1">
      <c r="A20" s="708">
        <f t="shared" si="6"/>
        <v>15</v>
      </c>
      <c r="B20" s="291" t="s">
        <v>901</v>
      </c>
      <c r="C20" s="726">
        <v>42376</v>
      </c>
      <c r="D20" s="727" t="s">
        <v>900</v>
      </c>
      <c r="E20" s="803">
        <v>46</v>
      </c>
      <c r="F20" s="802">
        <v>36</v>
      </c>
      <c r="G20" s="802">
        <v>47</v>
      </c>
      <c r="H20" s="798">
        <f t="shared" si="2"/>
        <v>1.45</v>
      </c>
      <c r="I20" s="257">
        <v>20</v>
      </c>
      <c r="J20" s="709">
        <f t="shared" si="3"/>
        <v>29</v>
      </c>
      <c r="K20" s="709">
        <f t="shared" si="0"/>
        <v>12097.267277291749</v>
      </c>
      <c r="L20" s="626">
        <v>15000</v>
      </c>
      <c r="M20" s="723"/>
      <c r="N20" s="419" t="s">
        <v>706</v>
      </c>
      <c r="O20" s="724">
        <v>42443</v>
      </c>
      <c r="P20" s="757">
        <v>1923</v>
      </c>
      <c r="Q20" s="743">
        <v>7200</v>
      </c>
      <c r="R20" s="8">
        <f t="shared" si="1"/>
        <v>13845600</v>
      </c>
      <c r="S20" s="704">
        <f t="shared" si="4"/>
        <v>300000</v>
      </c>
      <c r="T20" s="704">
        <f t="shared" si="5"/>
        <v>241945.34554583498</v>
      </c>
    </row>
    <row r="21" spans="1:20" ht="16.5" customHeight="1">
      <c r="A21" s="708">
        <f t="shared" si="6"/>
        <v>16</v>
      </c>
      <c r="B21" s="291" t="s">
        <v>902</v>
      </c>
      <c r="C21" s="726">
        <v>42376</v>
      </c>
      <c r="D21" s="727" t="s">
        <v>900</v>
      </c>
      <c r="E21" s="803">
        <v>39</v>
      </c>
      <c r="F21" s="802">
        <v>45</v>
      </c>
      <c r="G21" s="802">
        <v>46</v>
      </c>
      <c r="H21" s="798">
        <f t="shared" si="2"/>
        <v>1.63</v>
      </c>
      <c r="I21" s="257">
        <v>23</v>
      </c>
      <c r="J21" s="709">
        <f t="shared" si="3"/>
        <v>37.489999999999995</v>
      </c>
      <c r="K21" s="709">
        <f t="shared" si="0"/>
        <v>13598.997008265897</v>
      </c>
      <c r="L21" s="626">
        <v>17000</v>
      </c>
      <c r="M21" s="723"/>
      <c r="N21" s="419" t="s">
        <v>706</v>
      </c>
      <c r="O21" s="724">
        <v>42444</v>
      </c>
      <c r="P21" s="757">
        <v>2406</v>
      </c>
      <c r="Q21" s="743">
        <v>7200</v>
      </c>
      <c r="R21" s="8">
        <f t="shared" si="1"/>
        <v>17323200</v>
      </c>
      <c r="S21" s="704">
        <f t="shared" si="4"/>
        <v>391000</v>
      </c>
      <c r="T21" s="704">
        <f t="shared" si="5"/>
        <v>312776.93119011563</v>
      </c>
    </row>
    <row r="22" spans="1:20" ht="16.5" customHeight="1">
      <c r="A22" s="708">
        <f t="shared" si="6"/>
        <v>17</v>
      </c>
      <c r="B22" s="291" t="s">
        <v>903</v>
      </c>
      <c r="C22" s="726">
        <v>42376</v>
      </c>
      <c r="D22" s="727" t="s">
        <v>900</v>
      </c>
      <c r="E22" s="803">
        <v>42</v>
      </c>
      <c r="F22" s="802">
        <v>48</v>
      </c>
      <c r="G22" s="802">
        <v>51</v>
      </c>
      <c r="H22" s="798">
        <f t="shared" si="2"/>
        <v>1.89</v>
      </c>
      <c r="I22" s="257">
        <v>22</v>
      </c>
      <c r="J22" s="709">
        <f t="shared" si="3"/>
        <v>41.58</v>
      </c>
      <c r="K22" s="709">
        <f t="shared" si="0"/>
        <v>15768.162175228555</v>
      </c>
      <c r="L22" s="626">
        <v>20000</v>
      </c>
      <c r="M22" s="723"/>
      <c r="N22" s="291" t="s">
        <v>712</v>
      </c>
      <c r="O22" s="724">
        <v>42445</v>
      </c>
      <c r="P22" s="757">
        <f>39846-P17</f>
        <v>21846</v>
      </c>
      <c r="Q22" s="743">
        <v>8800</v>
      </c>
      <c r="R22" s="8">
        <f t="shared" si="1"/>
        <v>192244800</v>
      </c>
      <c r="S22" s="704">
        <f t="shared" si="4"/>
        <v>440000</v>
      </c>
      <c r="T22" s="704">
        <f t="shared" si="5"/>
        <v>346899.5678550282</v>
      </c>
    </row>
    <row r="23" spans="1:20" ht="16.5" customHeight="1">
      <c r="A23" s="708">
        <f t="shared" si="6"/>
        <v>18</v>
      </c>
      <c r="B23" s="291" t="s">
        <v>904</v>
      </c>
      <c r="C23" s="726">
        <v>42376</v>
      </c>
      <c r="D23" s="727" t="s">
        <v>900</v>
      </c>
      <c r="E23" s="803">
        <v>46</v>
      </c>
      <c r="F23" s="802">
        <v>53</v>
      </c>
      <c r="G23" s="802">
        <v>55</v>
      </c>
      <c r="H23" s="798">
        <f t="shared" si="2"/>
        <v>2.25</v>
      </c>
      <c r="I23" s="257">
        <v>22</v>
      </c>
      <c r="J23" s="709">
        <f t="shared" si="3"/>
        <v>49.5</v>
      </c>
      <c r="K23" s="709">
        <f t="shared" si="0"/>
        <v>18771.621637176853</v>
      </c>
      <c r="L23" s="626">
        <v>22000</v>
      </c>
      <c r="M23" s="723"/>
      <c r="N23" s="419" t="s">
        <v>706</v>
      </c>
      <c r="O23" s="724">
        <v>42455</v>
      </c>
      <c r="P23" s="757">
        <v>1603</v>
      </c>
      <c r="Q23" s="743">
        <v>7200</v>
      </c>
      <c r="R23" s="8">
        <f t="shared" si="1"/>
        <v>11541600</v>
      </c>
      <c r="S23" s="704">
        <f t="shared" si="4"/>
        <v>484000</v>
      </c>
      <c r="T23" s="704">
        <f t="shared" si="5"/>
        <v>412975.6760178908</v>
      </c>
    </row>
    <row r="24" spans="1:20" ht="16.5" customHeight="1">
      <c r="A24" s="708">
        <f t="shared" si="6"/>
        <v>19</v>
      </c>
      <c r="B24" s="291" t="s">
        <v>905</v>
      </c>
      <c r="C24" s="726">
        <v>42376</v>
      </c>
      <c r="D24" s="727" t="s">
        <v>900</v>
      </c>
      <c r="E24" s="803">
        <v>51</v>
      </c>
      <c r="F24" s="802">
        <v>62</v>
      </c>
      <c r="G24" s="802">
        <v>55</v>
      </c>
      <c r="H24" s="798">
        <f t="shared" si="2"/>
        <v>2.77</v>
      </c>
      <c r="I24" s="257">
        <v>21</v>
      </c>
      <c r="J24" s="709">
        <f t="shared" si="3"/>
        <v>58.17</v>
      </c>
      <c r="K24" s="709">
        <f t="shared" si="0"/>
        <v>23109.951971102168</v>
      </c>
      <c r="L24" s="626">
        <v>24300</v>
      </c>
      <c r="M24" s="723"/>
      <c r="N24" s="192" t="s">
        <v>710</v>
      </c>
      <c r="O24" s="724">
        <v>42430</v>
      </c>
      <c r="P24" s="25">
        <v>2295</v>
      </c>
      <c r="Q24" s="287">
        <v>9000</v>
      </c>
      <c r="R24" s="8">
        <f t="shared" si="1"/>
        <v>20655000</v>
      </c>
      <c r="S24" s="704">
        <f t="shared" si="4"/>
        <v>510300</v>
      </c>
      <c r="T24" s="704">
        <f t="shared" si="5"/>
        <v>485308.99139314552</v>
      </c>
    </row>
    <row r="25" spans="1:20" ht="16.5" customHeight="1">
      <c r="A25" s="708">
        <f t="shared" si="6"/>
        <v>20</v>
      </c>
      <c r="B25" s="291" t="s">
        <v>906</v>
      </c>
      <c r="C25" s="726">
        <v>42376</v>
      </c>
      <c r="D25" s="727" t="s">
        <v>900</v>
      </c>
      <c r="E25" s="803">
        <v>51</v>
      </c>
      <c r="F25" s="802">
        <v>69</v>
      </c>
      <c r="G25" s="802">
        <v>55</v>
      </c>
      <c r="H25" s="798">
        <f t="shared" si="2"/>
        <v>3.11</v>
      </c>
      <c r="I25" s="257">
        <v>22</v>
      </c>
      <c r="J25" s="709">
        <f t="shared" si="3"/>
        <v>68.42</v>
      </c>
      <c r="K25" s="709">
        <f t="shared" si="0"/>
        <v>25946.552574053338</v>
      </c>
      <c r="L25" s="626">
        <v>26000</v>
      </c>
      <c r="M25" s="723"/>
      <c r="N25" s="419" t="s">
        <v>706</v>
      </c>
      <c r="O25" s="724">
        <v>42445</v>
      </c>
      <c r="P25" s="757">
        <v>6902</v>
      </c>
      <c r="Q25" s="743">
        <v>7200</v>
      </c>
      <c r="R25" s="8">
        <f t="shared" si="1"/>
        <v>49694400</v>
      </c>
      <c r="S25" s="704">
        <f t="shared" si="4"/>
        <v>572000</v>
      </c>
      <c r="T25" s="704">
        <f t="shared" si="5"/>
        <v>570824.15662917343</v>
      </c>
    </row>
    <row r="26" spans="1:20" ht="16.5" customHeight="1">
      <c r="A26" s="708">
        <f t="shared" si="6"/>
        <v>21</v>
      </c>
      <c r="B26" s="291" t="s">
        <v>907</v>
      </c>
      <c r="C26" s="726">
        <v>42376</v>
      </c>
      <c r="D26" s="727" t="s">
        <v>900</v>
      </c>
      <c r="E26" s="803">
        <v>51</v>
      </c>
      <c r="F26" s="802">
        <v>72</v>
      </c>
      <c r="G26" s="802">
        <v>55</v>
      </c>
      <c r="H26" s="798">
        <f t="shared" si="2"/>
        <v>3.26</v>
      </c>
      <c r="I26" s="257">
        <v>21</v>
      </c>
      <c r="J26" s="709">
        <f t="shared" si="3"/>
        <v>68.459999999999994</v>
      </c>
      <c r="K26" s="709">
        <f t="shared" si="0"/>
        <v>27197.994016531793</v>
      </c>
      <c r="L26" s="626">
        <v>27800</v>
      </c>
      <c r="M26" s="723"/>
      <c r="N26" s="419"/>
      <c r="O26" s="724"/>
      <c r="P26" s="757"/>
      <c r="Q26" s="743"/>
      <c r="R26" s="8"/>
      <c r="S26" s="704">
        <f t="shared" si="4"/>
        <v>583800</v>
      </c>
      <c r="T26" s="704">
        <f t="shared" si="5"/>
        <v>571157.87434716767</v>
      </c>
    </row>
    <row r="27" spans="1:20" ht="16.5" customHeight="1">
      <c r="A27" s="708">
        <f t="shared" si="6"/>
        <v>22</v>
      </c>
      <c r="B27" s="291" t="s">
        <v>908</v>
      </c>
      <c r="C27" s="726">
        <v>42376</v>
      </c>
      <c r="D27" s="727" t="s">
        <v>900</v>
      </c>
      <c r="E27" s="803">
        <v>59</v>
      </c>
      <c r="F27" s="802">
        <v>80</v>
      </c>
      <c r="G27" s="802">
        <v>61</v>
      </c>
      <c r="H27" s="798">
        <f t="shared" si="2"/>
        <v>4.08</v>
      </c>
      <c r="I27" s="257">
        <v>24</v>
      </c>
      <c r="J27" s="709">
        <f t="shared" si="3"/>
        <v>97.92</v>
      </c>
      <c r="K27" s="709">
        <f t="shared" si="0"/>
        <v>34039.207235414025</v>
      </c>
      <c r="L27" s="626">
        <v>31000</v>
      </c>
      <c r="M27" s="723"/>
      <c r="N27" s="794" t="s">
        <v>747</v>
      </c>
      <c r="O27" s="795"/>
      <c r="P27" s="796"/>
      <c r="Q27" s="503"/>
      <c r="R27" s="503">
        <f>SUM(R6:R26)</f>
        <v>852900100</v>
      </c>
      <c r="S27" s="704">
        <f t="shared" si="4"/>
        <v>744000</v>
      </c>
      <c r="T27" s="704">
        <f t="shared" si="5"/>
        <v>816940.97364993661</v>
      </c>
    </row>
    <row r="28" spans="1:20" ht="16.5" customHeight="1">
      <c r="A28" s="708">
        <f t="shared" si="6"/>
        <v>23</v>
      </c>
      <c r="B28" s="291" t="s">
        <v>1236</v>
      </c>
      <c r="C28" s="726">
        <v>42376</v>
      </c>
      <c r="D28" s="727" t="s">
        <v>909</v>
      </c>
      <c r="E28" s="803">
        <v>95</v>
      </c>
      <c r="F28" s="802">
        <v>165</v>
      </c>
      <c r="G28" s="802"/>
      <c r="H28" s="798">
        <f t="shared" si="2"/>
        <v>1.57</v>
      </c>
      <c r="I28" s="257">
        <v>320</v>
      </c>
      <c r="J28" s="709">
        <f t="shared" si="3"/>
        <v>502.40000000000003</v>
      </c>
      <c r="K28" s="709">
        <f t="shared" si="0"/>
        <v>13098.420431274515</v>
      </c>
      <c r="L28" s="626">
        <v>14264</v>
      </c>
      <c r="M28" s="723"/>
      <c r="N28" s="189" t="s">
        <v>337</v>
      </c>
      <c r="O28" s="726">
        <v>42396</v>
      </c>
      <c r="P28" s="743">
        <v>24</v>
      </c>
      <c r="Q28" s="743">
        <v>40000</v>
      </c>
      <c r="R28" s="8">
        <f t="shared" ref="R28" si="7">ROUND(P28*Q28,0)</f>
        <v>960000</v>
      </c>
      <c r="S28" s="704">
        <f t="shared" si="4"/>
        <v>4564480</v>
      </c>
      <c r="T28" s="704">
        <f t="shared" si="5"/>
        <v>4191494.5380078447</v>
      </c>
    </row>
    <row r="29" spans="1:20" ht="16.5" customHeight="1">
      <c r="A29" s="708">
        <f t="shared" si="6"/>
        <v>24</v>
      </c>
      <c r="B29" s="291" t="s">
        <v>1237</v>
      </c>
      <c r="C29" s="726">
        <v>42376</v>
      </c>
      <c r="D29" s="727" t="s">
        <v>909</v>
      </c>
      <c r="E29" s="803">
        <v>115</v>
      </c>
      <c r="F29" s="802">
        <v>74</v>
      </c>
      <c r="G29" s="802"/>
      <c r="H29" s="798">
        <f t="shared" si="2"/>
        <v>0.85</v>
      </c>
      <c r="I29" s="257">
        <v>280</v>
      </c>
      <c r="J29" s="709">
        <f t="shared" si="3"/>
        <v>238</v>
      </c>
      <c r="K29" s="709">
        <f t="shared" si="0"/>
        <v>7091.5015073779214</v>
      </c>
      <c r="L29" s="626">
        <v>5191</v>
      </c>
      <c r="M29" s="723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4">
        <f t="shared" si="4"/>
        <v>1453480</v>
      </c>
      <c r="T29" s="704">
        <f t="shared" si="5"/>
        <v>1985620.422065818</v>
      </c>
    </row>
    <row r="30" spans="1:20" ht="16.5" customHeight="1">
      <c r="A30" s="708">
        <f t="shared" si="6"/>
        <v>25</v>
      </c>
      <c r="B30" s="291" t="s">
        <v>1238</v>
      </c>
      <c r="C30" s="726">
        <v>42376</v>
      </c>
      <c r="D30" s="727" t="s">
        <v>909</v>
      </c>
      <c r="E30" s="803">
        <v>115</v>
      </c>
      <c r="F30" s="802">
        <v>82</v>
      </c>
      <c r="G30" s="802"/>
      <c r="H30" s="798">
        <f t="shared" si="2"/>
        <v>0.94</v>
      </c>
      <c r="I30" s="257">
        <v>211</v>
      </c>
      <c r="J30" s="709">
        <f t="shared" si="3"/>
        <v>198.33999999999997</v>
      </c>
      <c r="K30" s="709">
        <f t="shared" si="0"/>
        <v>7842.3663728649954</v>
      </c>
      <c r="L30" s="626">
        <v>5752</v>
      </c>
      <c r="M30" s="723"/>
      <c r="N30" s="189" t="s">
        <v>337</v>
      </c>
      <c r="O30" s="726">
        <v>42458</v>
      </c>
      <c r="P30" s="256">
        <v>48</v>
      </c>
      <c r="Q30" s="256">
        <v>41000</v>
      </c>
      <c r="R30" s="8">
        <f t="shared" si="8"/>
        <v>1968000</v>
      </c>
      <c r="S30" s="704">
        <f t="shared" si="4"/>
        <v>1213672</v>
      </c>
      <c r="T30" s="704">
        <f t="shared" si="5"/>
        <v>1654739.3046745141</v>
      </c>
    </row>
    <row r="31" spans="1:20" ht="16.5" customHeight="1">
      <c r="A31" s="708">
        <f t="shared" si="6"/>
        <v>26</v>
      </c>
      <c r="B31" s="291" t="s">
        <v>1239</v>
      </c>
      <c r="C31" s="726">
        <v>42376</v>
      </c>
      <c r="D31" s="727" t="s">
        <v>909</v>
      </c>
      <c r="E31" s="803">
        <v>110</v>
      </c>
      <c r="F31" s="802">
        <v>90</v>
      </c>
      <c r="G31" s="802"/>
      <c r="H31" s="798">
        <f t="shared" si="2"/>
        <v>0.99</v>
      </c>
      <c r="I31" s="257">
        <v>75</v>
      </c>
      <c r="J31" s="709">
        <f t="shared" si="3"/>
        <v>74.25</v>
      </c>
      <c r="K31" s="709">
        <f t="shared" si="0"/>
        <v>8259.5135203578157</v>
      </c>
      <c r="L31" s="626">
        <v>5544</v>
      </c>
      <c r="M31" s="723"/>
      <c r="N31" s="189"/>
      <c r="O31" s="726"/>
      <c r="P31" s="256"/>
      <c r="Q31" s="256"/>
      <c r="R31" s="8">
        <f t="shared" ref="R31" si="9">ROUND(P31*Q31,0)</f>
        <v>0</v>
      </c>
      <c r="S31" s="704">
        <f t="shared" si="4"/>
        <v>415800</v>
      </c>
      <c r="T31" s="704">
        <f t="shared" si="5"/>
        <v>619463.51402683614</v>
      </c>
    </row>
    <row r="32" spans="1:20" ht="16.5" customHeight="1">
      <c r="A32" s="708">
        <f t="shared" si="6"/>
        <v>27</v>
      </c>
      <c r="B32" s="291" t="s">
        <v>1240</v>
      </c>
      <c r="C32" s="726">
        <v>42376</v>
      </c>
      <c r="D32" s="727" t="s">
        <v>909</v>
      </c>
      <c r="E32" s="803">
        <v>90</v>
      </c>
      <c r="F32" s="802">
        <v>78</v>
      </c>
      <c r="G32" s="802"/>
      <c r="H32" s="798">
        <f t="shared" si="2"/>
        <v>0.7</v>
      </c>
      <c r="I32" s="257">
        <v>70</v>
      </c>
      <c r="J32" s="709">
        <f t="shared" si="3"/>
        <v>49</v>
      </c>
      <c r="K32" s="709">
        <f t="shared" si="0"/>
        <v>5840.060064899465</v>
      </c>
      <c r="L32" s="626">
        <v>3931</v>
      </c>
      <c r="M32" s="723"/>
      <c r="N32" s="419"/>
      <c r="O32" s="724"/>
      <c r="P32" s="757"/>
      <c r="Q32" s="743"/>
      <c r="R32" s="8"/>
      <c r="S32" s="704">
        <f t="shared" si="4"/>
        <v>275170</v>
      </c>
      <c r="T32" s="704">
        <f t="shared" si="5"/>
        <v>408804.20454296254</v>
      </c>
    </row>
    <row r="33" spans="1:20" ht="16.5" customHeight="1">
      <c r="A33" s="708">
        <f t="shared" si="6"/>
        <v>28</v>
      </c>
      <c r="B33" s="291" t="s">
        <v>1241</v>
      </c>
      <c r="C33" s="726">
        <v>42376</v>
      </c>
      <c r="D33" s="727" t="s">
        <v>909</v>
      </c>
      <c r="E33" s="803">
        <v>95</v>
      </c>
      <c r="F33" s="802">
        <v>114</v>
      </c>
      <c r="G33" s="802"/>
      <c r="H33" s="798">
        <f t="shared" si="2"/>
        <v>1.08</v>
      </c>
      <c r="I33" s="257">
        <v>120</v>
      </c>
      <c r="J33" s="709">
        <f t="shared" si="3"/>
        <v>129.60000000000002</v>
      </c>
      <c r="K33" s="709">
        <f t="shared" si="0"/>
        <v>9010.3783858448896</v>
      </c>
      <c r="L33" s="626">
        <v>9855</v>
      </c>
      <c r="M33" s="723"/>
      <c r="N33" s="794" t="s">
        <v>748</v>
      </c>
      <c r="O33" s="795"/>
      <c r="P33" s="796"/>
      <c r="Q33" s="503"/>
      <c r="R33" s="503">
        <f>SUM(R28:R32)</f>
        <v>15654700</v>
      </c>
      <c r="S33" s="704">
        <f t="shared" si="4"/>
        <v>1182600</v>
      </c>
      <c r="T33" s="704">
        <f t="shared" si="5"/>
        <v>1081245.4063013867</v>
      </c>
    </row>
    <row r="34" spans="1:20" ht="16.5" customHeight="1">
      <c r="A34" s="708">
        <f t="shared" si="6"/>
        <v>29</v>
      </c>
      <c r="B34" s="291" t="s">
        <v>1242</v>
      </c>
      <c r="C34" s="726">
        <v>42376</v>
      </c>
      <c r="D34" s="727" t="s">
        <v>909</v>
      </c>
      <c r="E34" s="803">
        <v>155</v>
      </c>
      <c r="F34" s="802">
        <v>115</v>
      </c>
      <c r="G34" s="802"/>
      <c r="H34" s="798">
        <f t="shared" si="2"/>
        <v>1.78</v>
      </c>
      <c r="I34" s="257">
        <v>110</v>
      </c>
      <c r="J34" s="709">
        <f t="shared" si="3"/>
        <v>195.8</v>
      </c>
      <c r="K34" s="709">
        <f t="shared" si="0"/>
        <v>14850.438450744354</v>
      </c>
      <c r="L34" s="626">
        <v>16577</v>
      </c>
      <c r="M34" s="723"/>
      <c r="N34" s="419" t="s">
        <v>749</v>
      </c>
      <c r="O34" s="724"/>
      <c r="P34" s="757"/>
      <c r="Q34" s="743"/>
      <c r="R34" s="8">
        <f>R27</f>
        <v>852900100</v>
      </c>
      <c r="S34" s="704">
        <f t="shared" si="4"/>
        <v>1823470</v>
      </c>
      <c r="T34" s="704">
        <f t="shared" si="5"/>
        <v>1633548.229581879</v>
      </c>
    </row>
    <row r="35" spans="1:20" ht="16.5" customHeight="1">
      <c r="A35" s="708">
        <f t="shared" si="6"/>
        <v>30</v>
      </c>
      <c r="B35" s="291" t="s">
        <v>1243</v>
      </c>
      <c r="C35" s="726">
        <v>42376</v>
      </c>
      <c r="D35" s="727" t="s">
        <v>909</v>
      </c>
      <c r="E35" s="803">
        <v>155</v>
      </c>
      <c r="F35" s="802">
        <v>114</v>
      </c>
      <c r="G35" s="802"/>
      <c r="H35" s="798">
        <f t="shared" si="2"/>
        <v>1.77</v>
      </c>
      <c r="I35" s="257">
        <v>96</v>
      </c>
      <c r="J35" s="709">
        <f t="shared" si="3"/>
        <v>169.92000000000002</v>
      </c>
      <c r="K35" s="709">
        <f t="shared" si="0"/>
        <v>14767.009021245791</v>
      </c>
      <c r="L35" s="626">
        <v>16433</v>
      </c>
      <c r="M35" s="723"/>
      <c r="N35" s="419" t="s">
        <v>750</v>
      </c>
      <c r="O35" s="724"/>
      <c r="P35" s="757"/>
      <c r="Q35" s="743"/>
      <c r="R35" s="8">
        <f>R33</f>
        <v>15654700</v>
      </c>
      <c r="S35" s="704">
        <f t="shared" si="4"/>
        <v>1577568</v>
      </c>
      <c r="T35" s="704">
        <f t="shared" si="5"/>
        <v>1417632.866039596</v>
      </c>
    </row>
    <row r="36" spans="1:20" ht="16.5" customHeight="1">
      <c r="A36" s="708">
        <f t="shared" si="6"/>
        <v>31</v>
      </c>
      <c r="B36" s="291" t="s">
        <v>1244</v>
      </c>
      <c r="C36" s="726">
        <v>42376</v>
      </c>
      <c r="D36" s="727" t="s">
        <v>909</v>
      </c>
      <c r="E36" s="803">
        <v>130</v>
      </c>
      <c r="F36" s="802">
        <v>127</v>
      </c>
      <c r="G36" s="802"/>
      <c r="H36" s="798">
        <f t="shared" si="2"/>
        <v>1.65</v>
      </c>
      <c r="I36" s="257">
        <v>500</v>
      </c>
      <c r="J36" s="709">
        <f t="shared" si="3"/>
        <v>825</v>
      </c>
      <c r="K36" s="709">
        <f t="shared" si="0"/>
        <v>13765.855867263024</v>
      </c>
      <c r="L36" s="626">
        <v>8915</v>
      </c>
      <c r="M36" s="723"/>
      <c r="N36" s="419" t="s">
        <v>752</v>
      </c>
      <c r="O36" s="724"/>
      <c r="P36" s="757"/>
      <c r="Q36" s="743"/>
      <c r="R36" s="8">
        <v>18130000</v>
      </c>
      <c r="S36" s="704">
        <f t="shared" si="4"/>
        <v>4457500</v>
      </c>
      <c r="T36" s="704">
        <f t="shared" si="5"/>
        <v>6882927.9336315123</v>
      </c>
    </row>
    <row r="37" spans="1:20" ht="16.5" customHeight="1">
      <c r="A37" s="708">
        <f t="shared" si="6"/>
        <v>32</v>
      </c>
      <c r="B37" s="291" t="s">
        <v>1245</v>
      </c>
      <c r="C37" s="726">
        <v>42376</v>
      </c>
      <c r="D37" s="727" t="s">
        <v>909</v>
      </c>
      <c r="E37" s="803">
        <v>130</v>
      </c>
      <c r="F37" s="802">
        <v>84</v>
      </c>
      <c r="G37" s="802"/>
      <c r="H37" s="798">
        <f t="shared" si="2"/>
        <v>1.0900000000000001</v>
      </c>
      <c r="I37" s="257">
        <v>86</v>
      </c>
      <c r="J37" s="709">
        <f t="shared" si="3"/>
        <v>93.740000000000009</v>
      </c>
      <c r="K37" s="709">
        <f t="shared" si="0"/>
        <v>9093.8078153434526</v>
      </c>
      <c r="L37" s="626">
        <v>6334</v>
      </c>
      <c r="M37" s="723"/>
      <c r="N37" s="419" t="s">
        <v>751</v>
      </c>
      <c r="O37" s="724"/>
      <c r="P37" s="757"/>
      <c r="Q37" s="743"/>
      <c r="R37" s="8">
        <v>30750000</v>
      </c>
      <c r="S37" s="704">
        <f t="shared" si="4"/>
        <v>544724</v>
      </c>
      <c r="T37" s="704">
        <f t="shared" si="5"/>
        <v>782067.47211953695</v>
      </c>
    </row>
    <row r="38" spans="1:20" ht="16.5" customHeight="1">
      <c r="A38" s="708">
        <f t="shared" si="6"/>
        <v>33</v>
      </c>
      <c r="B38" s="291" t="s">
        <v>910</v>
      </c>
      <c r="C38" s="726">
        <v>42376</v>
      </c>
      <c r="D38" s="727" t="s">
        <v>911</v>
      </c>
      <c r="E38" s="803">
        <v>59</v>
      </c>
      <c r="F38" s="802">
        <v>89</v>
      </c>
      <c r="G38" s="802">
        <v>61</v>
      </c>
      <c r="H38" s="798">
        <f t="shared" si="2"/>
        <v>4.6100000000000003</v>
      </c>
      <c r="I38" s="257">
        <v>22</v>
      </c>
      <c r="J38" s="709">
        <f t="shared" si="3"/>
        <v>101.42</v>
      </c>
      <c r="K38" s="709">
        <f t="shared" si="0"/>
        <v>38460.96699883791</v>
      </c>
      <c r="L38" s="626">
        <v>33000</v>
      </c>
      <c r="M38" s="723"/>
      <c r="N38" s="419" t="s">
        <v>764</v>
      </c>
      <c r="O38" s="724"/>
      <c r="P38" s="757"/>
      <c r="Q38" s="743"/>
      <c r="R38" s="8">
        <v>75525000</v>
      </c>
      <c r="S38" s="704">
        <f t="shared" si="4"/>
        <v>726000</v>
      </c>
      <c r="T38" s="704">
        <f t="shared" si="5"/>
        <v>846141.27397443401</v>
      </c>
    </row>
    <row r="39" spans="1:20" ht="16.5" customHeight="1">
      <c r="A39" s="708">
        <f t="shared" si="6"/>
        <v>34</v>
      </c>
      <c r="B39" s="291" t="s">
        <v>912</v>
      </c>
      <c r="C39" s="726">
        <v>42376</v>
      </c>
      <c r="D39" s="727" t="s">
        <v>911</v>
      </c>
      <c r="E39" s="803">
        <v>59</v>
      </c>
      <c r="F39" s="802">
        <v>94</v>
      </c>
      <c r="G39" s="802">
        <v>61</v>
      </c>
      <c r="H39" s="798">
        <f t="shared" si="2"/>
        <v>4.91</v>
      </c>
      <c r="I39" s="257">
        <v>10</v>
      </c>
      <c r="J39" s="709">
        <f t="shared" si="3"/>
        <v>49.1</v>
      </c>
      <c r="K39" s="709">
        <f t="shared" si="0"/>
        <v>40963.849883794821</v>
      </c>
      <c r="L39" s="626">
        <v>35000</v>
      </c>
      <c r="M39" s="723"/>
      <c r="N39" s="419"/>
      <c r="O39" s="724"/>
      <c r="P39" s="757"/>
      <c r="Q39" s="743"/>
      <c r="R39" s="8"/>
      <c r="S39" s="704">
        <f t="shared" si="4"/>
        <v>350000</v>
      </c>
      <c r="T39" s="704">
        <f t="shared" si="5"/>
        <v>409638.49883794819</v>
      </c>
    </row>
    <row r="40" spans="1:20" ht="16.5" customHeight="1">
      <c r="A40" s="708">
        <f t="shared" si="6"/>
        <v>35</v>
      </c>
      <c r="B40" s="291" t="s">
        <v>913</v>
      </c>
      <c r="C40" s="726">
        <v>42376</v>
      </c>
      <c r="D40" s="727" t="s">
        <v>911</v>
      </c>
      <c r="E40" s="803">
        <v>64</v>
      </c>
      <c r="F40" s="802">
        <v>114</v>
      </c>
      <c r="G40" s="802">
        <v>63</v>
      </c>
      <c r="H40" s="798">
        <f t="shared" si="2"/>
        <v>6.5</v>
      </c>
      <c r="I40" s="257">
        <v>10</v>
      </c>
      <c r="J40" s="709">
        <f t="shared" si="3"/>
        <v>65</v>
      </c>
      <c r="K40" s="709">
        <f t="shared" si="0"/>
        <v>54229.12917406646</v>
      </c>
      <c r="L40" s="626">
        <v>60000</v>
      </c>
      <c r="M40" s="723"/>
      <c r="N40" s="794" t="s">
        <v>761</v>
      </c>
      <c r="O40" s="795"/>
      <c r="P40" s="796"/>
      <c r="Q40" s="503"/>
      <c r="R40" s="503">
        <f>SUM(R34:R39)</f>
        <v>992959800</v>
      </c>
      <c r="S40" s="704">
        <f t="shared" si="4"/>
        <v>600000</v>
      </c>
      <c r="T40" s="704">
        <f t="shared" si="5"/>
        <v>542291.29174066463</v>
      </c>
    </row>
    <row r="41" spans="1:20" ht="16.5" customHeight="1">
      <c r="A41" s="708">
        <f t="shared" si="6"/>
        <v>36</v>
      </c>
      <c r="B41" s="291" t="s">
        <v>640</v>
      </c>
      <c r="C41" s="726">
        <v>42377</v>
      </c>
      <c r="D41" s="727" t="s">
        <v>915</v>
      </c>
      <c r="E41" s="803">
        <v>80</v>
      </c>
      <c r="F41" s="802">
        <v>60</v>
      </c>
      <c r="G41" s="802">
        <v>50</v>
      </c>
      <c r="H41" s="798">
        <f t="shared" si="2"/>
        <v>3.22</v>
      </c>
      <c r="I41" s="257">
        <v>153</v>
      </c>
      <c r="J41" s="709">
        <f t="shared" si="3"/>
        <v>492.66</v>
      </c>
      <c r="K41" s="709">
        <f t="shared" si="0"/>
        <v>26864.276298537541</v>
      </c>
      <c r="L41" s="626">
        <v>22750</v>
      </c>
      <c r="M41" s="723"/>
      <c r="N41" s="420"/>
      <c r="O41" s="732"/>
      <c r="P41" s="758"/>
      <c r="Q41" s="722"/>
      <c r="R41" s="734"/>
      <c r="S41" s="704">
        <f t="shared" si="4"/>
        <v>3480750</v>
      </c>
      <c r="T41" s="704">
        <f t="shared" si="5"/>
        <v>4110234.2736762436</v>
      </c>
    </row>
    <row r="42" spans="1:20" ht="16.5" customHeight="1">
      <c r="A42" s="708">
        <f t="shared" si="6"/>
        <v>37</v>
      </c>
      <c r="B42" s="291" t="s">
        <v>484</v>
      </c>
      <c r="C42" s="726">
        <v>42381</v>
      </c>
      <c r="D42" s="727" t="s">
        <v>916</v>
      </c>
      <c r="E42" s="803">
        <v>61</v>
      </c>
      <c r="F42" s="802">
        <v>51</v>
      </c>
      <c r="G42" s="802">
        <v>30</v>
      </c>
      <c r="H42" s="798">
        <f t="shared" si="2"/>
        <v>1.92</v>
      </c>
      <c r="I42" s="257">
        <v>287</v>
      </c>
      <c r="J42" s="709">
        <f t="shared" si="3"/>
        <v>551.04</v>
      </c>
      <c r="K42" s="709">
        <f t="shared" si="0"/>
        <v>16018.450463724246</v>
      </c>
      <c r="L42" s="626">
        <v>10670</v>
      </c>
      <c r="M42" s="723"/>
      <c r="N42" s="420"/>
      <c r="O42" s="732"/>
      <c r="P42" s="758"/>
      <c r="Q42" s="722"/>
      <c r="R42" s="734"/>
      <c r="S42" s="704">
        <f t="shared" si="4"/>
        <v>3062290</v>
      </c>
      <c r="T42" s="704">
        <f t="shared" si="5"/>
        <v>4597295.2830888582</v>
      </c>
    </row>
    <row r="43" spans="1:20" ht="16.5" customHeight="1">
      <c r="A43" s="708">
        <f t="shared" si="6"/>
        <v>38</v>
      </c>
      <c r="B43" s="291" t="s">
        <v>570</v>
      </c>
      <c r="C43" s="726">
        <v>42382</v>
      </c>
      <c r="D43" s="727" t="s">
        <v>917</v>
      </c>
      <c r="E43" s="803">
        <v>52</v>
      </c>
      <c r="F43" s="802">
        <v>28</v>
      </c>
      <c r="G43" s="802">
        <v>28</v>
      </c>
      <c r="H43" s="798">
        <f t="shared" si="2"/>
        <v>0.97</v>
      </c>
      <c r="I43" s="257">
        <v>504</v>
      </c>
      <c r="J43" s="709">
        <f t="shared" si="3"/>
        <v>488.88</v>
      </c>
      <c r="K43" s="709">
        <f t="shared" si="0"/>
        <v>8092.654661360687</v>
      </c>
      <c r="L43" s="626">
        <v>6400</v>
      </c>
      <c r="M43" s="723"/>
      <c r="N43" s="1142" t="s">
        <v>762</v>
      </c>
      <c r="O43" s="1143"/>
      <c r="P43" s="1143"/>
      <c r="Q43" s="1144"/>
      <c r="R43" s="799">
        <f>R40/J273</f>
        <v>8342.9429498563786</v>
      </c>
      <c r="S43" s="704">
        <f t="shared" si="4"/>
        <v>3225600</v>
      </c>
      <c r="T43" s="704">
        <f t="shared" si="5"/>
        <v>4078697.9493257864</v>
      </c>
    </row>
    <row r="44" spans="1:20" ht="16.5" customHeight="1">
      <c r="A44" s="708">
        <f t="shared" si="6"/>
        <v>39</v>
      </c>
      <c r="B44" s="291" t="s">
        <v>445</v>
      </c>
      <c r="C44" s="726">
        <v>42382</v>
      </c>
      <c r="D44" s="727" t="s">
        <v>918</v>
      </c>
      <c r="E44" s="803">
        <v>49.5</v>
      </c>
      <c r="F44" s="802">
        <v>38.5</v>
      </c>
      <c r="G44" s="802">
        <v>32.5</v>
      </c>
      <c r="H44" s="798">
        <f t="shared" si="2"/>
        <v>1.34</v>
      </c>
      <c r="I44" s="257">
        <v>132</v>
      </c>
      <c r="J44" s="709">
        <f t="shared" si="3"/>
        <v>176.88000000000002</v>
      </c>
      <c r="K44" s="709">
        <f t="shared" si="0"/>
        <v>11179.543552807549</v>
      </c>
      <c r="L44" s="626">
        <v>12900</v>
      </c>
      <c r="M44" s="723"/>
      <c r="N44" s="420"/>
      <c r="O44" s="732"/>
      <c r="P44" s="758"/>
      <c r="Q44" s="722"/>
      <c r="R44" s="734"/>
      <c r="S44" s="704">
        <f t="shared" si="4"/>
        <v>1702800</v>
      </c>
      <c r="T44" s="704">
        <f t="shared" si="5"/>
        <v>1475699.7489705964</v>
      </c>
    </row>
    <row r="45" spans="1:20" ht="16.5" customHeight="1">
      <c r="A45" s="708">
        <f t="shared" si="6"/>
        <v>40</v>
      </c>
      <c r="B45" s="291" t="s">
        <v>507</v>
      </c>
      <c r="C45" s="726">
        <v>42382</v>
      </c>
      <c r="D45" s="727" t="s">
        <v>918</v>
      </c>
      <c r="E45" s="803">
        <v>43</v>
      </c>
      <c r="F45" s="802">
        <v>27.5</v>
      </c>
      <c r="G45" s="802">
        <v>33</v>
      </c>
      <c r="H45" s="798">
        <f t="shared" si="2"/>
        <v>0.93</v>
      </c>
      <c r="I45" s="257">
        <v>222</v>
      </c>
      <c r="J45" s="709">
        <f t="shared" si="3"/>
        <v>206.46</v>
      </c>
      <c r="K45" s="709">
        <f t="shared" si="0"/>
        <v>7758.9369433664324</v>
      </c>
      <c r="L45" s="626">
        <v>6400</v>
      </c>
      <c r="M45" s="723"/>
      <c r="N45" s="420"/>
      <c r="O45" s="732"/>
      <c r="P45" s="758"/>
      <c r="Q45" s="722"/>
      <c r="R45" s="734"/>
      <c r="S45" s="704">
        <f t="shared" si="4"/>
        <v>1420800</v>
      </c>
      <c r="T45" s="704">
        <f t="shared" si="5"/>
        <v>1722484.001427348</v>
      </c>
    </row>
    <row r="46" spans="1:20" ht="16.5" customHeight="1">
      <c r="A46" s="708">
        <f t="shared" si="6"/>
        <v>41</v>
      </c>
      <c r="B46" s="291" t="s">
        <v>445</v>
      </c>
      <c r="C46" s="726">
        <v>42383</v>
      </c>
      <c r="D46" s="727" t="s">
        <v>863</v>
      </c>
      <c r="E46" s="803">
        <v>49</v>
      </c>
      <c r="F46" s="802">
        <v>38.5</v>
      </c>
      <c r="G46" s="802">
        <v>32.5</v>
      </c>
      <c r="H46" s="798">
        <f t="shared" si="2"/>
        <v>1.33</v>
      </c>
      <c r="I46" s="257">
        <v>273</v>
      </c>
      <c r="J46" s="709">
        <f t="shared" si="3"/>
        <v>363.09000000000003</v>
      </c>
      <c r="K46" s="709">
        <f t="shared" si="0"/>
        <v>11096.114123308984</v>
      </c>
      <c r="L46" s="626">
        <v>12900</v>
      </c>
      <c r="M46" s="723"/>
      <c r="N46" s="420"/>
      <c r="O46" s="732"/>
      <c r="P46" s="758"/>
      <c r="Q46" s="722"/>
      <c r="R46" s="734"/>
      <c r="S46" s="704">
        <f t="shared" si="4"/>
        <v>3521700</v>
      </c>
      <c r="T46" s="704">
        <f t="shared" si="5"/>
        <v>3029239.1556633525</v>
      </c>
    </row>
    <row r="47" spans="1:20" ht="16.5" customHeight="1">
      <c r="A47" s="708">
        <f t="shared" si="6"/>
        <v>42</v>
      </c>
      <c r="B47" s="291" t="s">
        <v>993</v>
      </c>
      <c r="C47" s="726">
        <v>42383</v>
      </c>
      <c r="D47" s="727" t="s">
        <v>863</v>
      </c>
      <c r="E47" s="803">
        <v>72</v>
      </c>
      <c r="F47" s="802">
        <v>51.5</v>
      </c>
      <c r="G47" s="802">
        <v>40</v>
      </c>
      <c r="H47" s="798">
        <f t="shared" si="2"/>
        <v>2.38</v>
      </c>
      <c r="I47" s="257">
        <v>500</v>
      </c>
      <c r="J47" s="709">
        <f t="shared" si="3"/>
        <v>1190</v>
      </c>
      <c r="K47" s="709">
        <f t="shared" si="0"/>
        <v>19856.204220658179</v>
      </c>
      <c r="L47" s="626">
        <v>7900</v>
      </c>
      <c r="M47" s="723"/>
      <c r="N47" s="420"/>
      <c r="O47" s="732"/>
      <c r="P47" s="758"/>
      <c r="Q47" s="722"/>
      <c r="R47" s="734"/>
      <c r="S47" s="704">
        <f t="shared" si="4"/>
        <v>3950000</v>
      </c>
      <c r="T47" s="704">
        <f t="shared" si="5"/>
        <v>9928102.1103290897</v>
      </c>
    </row>
    <row r="48" spans="1:20" ht="16.5" customHeight="1">
      <c r="A48" s="708">
        <f t="shared" si="6"/>
        <v>43</v>
      </c>
      <c r="B48" s="291" t="s">
        <v>676</v>
      </c>
      <c r="C48" s="726">
        <v>42383</v>
      </c>
      <c r="D48" s="727" t="s">
        <v>864</v>
      </c>
      <c r="E48" s="803">
        <v>33.5</v>
      </c>
      <c r="F48" s="802">
        <v>31.5</v>
      </c>
      <c r="G48" s="802">
        <v>24</v>
      </c>
      <c r="H48" s="798">
        <f t="shared" si="2"/>
        <v>0.79</v>
      </c>
      <c r="I48" s="257">
        <v>1000</v>
      </c>
      <c r="J48" s="709">
        <f t="shared" si="3"/>
        <v>790</v>
      </c>
      <c r="K48" s="709">
        <f t="shared" si="0"/>
        <v>6590.924930386539</v>
      </c>
      <c r="L48" s="626">
        <v>6950</v>
      </c>
      <c r="M48" s="723"/>
      <c r="N48" s="420"/>
      <c r="O48" s="732"/>
      <c r="P48" s="758"/>
      <c r="Q48" s="722"/>
      <c r="R48" s="734"/>
      <c r="S48" s="704">
        <f t="shared" si="4"/>
        <v>6950000</v>
      </c>
      <c r="T48" s="704">
        <f t="shared" si="5"/>
        <v>6590924.9303865386</v>
      </c>
    </row>
    <row r="49" spans="1:20" ht="16.5" customHeight="1">
      <c r="A49" s="708">
        <f t="shared" si="6"/>
        <v>44</v>
      </c>
      <c r="B49" s="291" t="s">
        <v>1465</v>
      </c>
      <c r="C49" s="726">
        <v>42383</v>
      </c>
      <c r="D49" s="727" t="s">
        <v>919</v>
      </c>
      <c r="E49" s="803">
        <v>41</v>
      </c>
      <c r="F49" s="802">
        <v>39</v>
      </c>
      <c r="G49" s="802">
        <v>20</v>
      </c>
      <c r="H49" s="798">
        <f t="shared" si="2"/>
        <v>1.02</v>
      </c>
      <c r="I49" s="257">
        <v>100</v>
      </c>
      <c r="J49" s="709">
        <f t="shared" si="3"/>
        <v>102</v>
      </c>
      <c r="K49" s="709">
        <f t="shared" si="0"/>
        <v>8509.8018088535064</v>
      </c>
      <c r="L49" s="626">
        <v>10900</v>
      </c>
      <c r="M49" s="723"/>
      <c r="N49" s="420"/>
      <c r="O49" s="732"/>
      <c r="P49" s="758"/>
      <c r="Q49" s="722"/>
      <c r="R49" s="734"/>
      <c r="S49" s="704">
        <f t="shared" si="4"/>
        <v>1090000</v>
      </c>
      <c r="T49" s="704">
        <f t="shared" si="5"/>
        <v>850980.18088535068</v>
      </c>
    </row>
    <row r="50" spans="1:20" ht="16.5" customHeight="1">
      <c r="A50" s="708">
        <f t="shared" si="6"/>
        <v>45</v>
      </c>
      <c r="B50" s="291" t="s">
        <v>1466</v>
      </c>
      <c r="C50" s="726">
        <v>42383</v>
      </c>
      <c r="D50" s="727" t="s">
        <v>919</v>
      </c>
      <c r="E50" s="803">
        <v>41</v>
      </c>
      <c r="F50" s="802">
        <v>41</v>
      </c>
      <c r="G50" s="802">
        <v>25</v>
      </c>
      <c r="H50" s="798">
        <f t="shared" si="2"/>
        <v>1.17</v>
      </c>
      <c r="I50" s="257">
        <v>20</v>
      </c>
      <c r="J50" s="709">
        <f t="shared" si="3"/>
        <v>23.4</v>
      </c>
      <c r="K50" s="709">
        <f t="shared" si="0"/>
        <v>9761.2432513319618</v>
      </c>
      <c r="L50" s="626">
        <v>11700</v>
      </c>
      <c r="M50" s="723"/>
      <c r="N50" s="420"/>
      <c r="O50" s="732"/>
      <c r="P50" s="758"/>
      <c r="Q50" s="722"/>
      <c r="R50" s="734"/>
      <c r="S50" s="704">
        <f t="shared" si="4"/>
        <v>234000</v>
      </c>
      <c r="T50" s="704">
        <f t="shared" si="5"/>
        <v>195224.86502663925</v>
      </c>
    </row>
    <row r="51" spans="1:20" ht="16.5" customHeight="1">
      <c r="A51" s="708">
        <f t="shared" si="6"/>
        <v>46</v>
      </c>
      <c r="B51" s="291" t="s">
        <v>1337</v>
      </c>
      <c r="C51" s="726">
        <v>42383</v>
      </c>
      <c r="D51" s="727" t="s">
        <v>919</v>
      </c>
      <c r="E51" s="803">
        <v>43</v>
      </c>
      <c r="F51" s="802">
        <v>42</v>
      </c>
      <c r="G51" s="802">
        <v>26</v>
      </c>
      <c r="H51" s="798">
        <f t="shared" si="2"/>
        <v>1.24</v>
      </c>
      <c r="I51" s="257">
        <v>20</v>
      </c>
      <c r="J51" s="709">
        <f t="shared" si="3"/>
        <v>24.8</v>
      </c>
      <c r="K51" s="709">
        <f t="shared" si="0"/>
        <v>10345.24925782191</v>
      </c>
      <c r="L51" s="626">
        <v>12400</v>
      </c>
      <c r="M51" s="723"/>
      <c r="N51" s="420"/>
      <c r="O51" s="732"/>
      <c r="P51" s="758"/>
      <c r="Q51" s="722"/>
      <c r="R51" s="734"/>
      <c r="S51" s="704">
        <f t="shared" si="4"/>
        <v>248000</v>
      </c>
      <c r="T51" s="704">
        <f t="shared" si="5"/>
        <v>206904.9851564382</v>
      </c>
    </row>
    <row r="52" spans="1:20" ht="16.5" customHeight="1">
      <c r="A52" s="708">
        <f t="shared" si="6"/>
        <v>47</v>
      </c>
      <c r="B52" s="291" t="s">
        <v>1341</v>
      </c>
      <c r="C52" s="726">
        <v>42383</v>
      </c>
      <c r="D52" s="727" t="s">
        <v>919</v>
      </c>
      <c r="E52" s="803">
        <v>38</v>
      </c>
      <c r="F52" s="802">
        <v>37</v>
      </c>
      <c r="G52" s="802">
        <v>30</v>
      </c>
      <c r="H52" s="798">
        <f t="shared" si="2"/>
        <v>1.0900000000000001</v>
      </c>
      <c r="I52" s="257">
        <v>20</v>
      </c>
      <c r="J52" s="709">
        <f t="shared" si="3"/>
        <v>21.8</v>
      </c>
      <c r="K52" s="709">
        <f t="shared" si="0"/>
        <v>9093.8078153434526</v>
      </c>
      <c r="L52" s="626">
        <v>15300</v>
      </c>
      <c r="M52" s="723"/>
      <c r="N52" s="420"/>
      <c r="O52" s="732"/>
      <c r="P52" s="758"/>
      <c r="Q52" s="722"/>
      <c r="R52" s="734"/>
      <c r="S52" s="704">
        <f t="shared" si="4"/>
        <v>306000</v>
      </c>
      <c r="T52" s="704">
        <f t="shared" si="5"/>
        <v>181876.15630686906</v>
      </c>
    </row>
    <row r="53" spans="1:20" ht="16.5" customHeight="1">
      <c r="A53" s="708">
        <f t="shared" si="6"/>
        <v>48</v>
      </c>
      <c r="B53" s="291" t="s">
        <v>1474</v>
      </c>
      <c r="C53" s="726">
        <v>42383</v>
      </c>
      <c r="D53" s="727" t="s">
        <v>920</v>
      </c>
      <c r="E53" s="803">
        <v>49</v>
      </c>
      <c r="F53" s="802">
        <v>38</v>
      </c>
      <c r="G53" s="802">
        <v>33</v>
      </c>
      <c r="H53" s="798">
        <f t="shared" si="2"/>
        <v>1.32</v>
      </c>
      <c r="I53" s="257">
        <v>314</v>
      </c>
      <c r="J53" s="709">
        <f t="shared" si="3"/>
        <v>414.48</v>
      </c>
      <c r="K53" s="709">
        <f t="shared" si="0"/>
        <v>11012.684693810421</v>
      </c>
      <c r="L53" s="626">
        <v>10500</v>
      </c>
      <c r="M53" s="723"/>
      <c r="N53" s="420"/>
      <c r="O53" s="732"/>
      <c r="P53" s="758"/>
      <c r="Q53" s="722"/>
      <c r="R53" s="734"/>
      <c r="S53" s="704">
        <f t="shared" si="4"/>
        <v>3297000</v>
      </c>
      <c r="T53" s="704">
        <f t="shared" si="5"/>
        <v>3457982.993856472</v>
      </c>
    </row>
    <row r="54" spans="1:20" ht="16.5" customHeight="1">
      <c r="A54" s="708">
        <f t="shared" si="6"/>
        <v>49</v>
      </c>
      <c r="B54" s="291" t="s">
        <v>689</v>
      </c>
      <c r="C54" s="726">
        <v>42383</v>
      </c>
      <c r="D54" s="727" t="s">
        <v>921</v>
      </c>
      <c r="E54" s="803">
        <v>57</v>
      </c>
      <c r="F54" s="802">
        <v>38</v>
      </c>
      <c r="G54" s="802">
        <v>33</v>
      </c>
      <c r="H54" s="798">
        <f t="shared" si="2"/>
        <v>1.44</v>
      </c>
      <c r="I54" s="257">
        <v>214</v>
      </c>
      <c r="J54" s="709">
        <f t="shared" si="3"/>
        <v>308.15999999999997</v>
      </c>
      <c r="K54" s="709">
        <f t="shared" si="0"/>
        <v>12013.837847793186</v>
      </c>
      <c r="L54" s="626">
        <v>10920</v>
      </c>
      <c r="M54" s="723"/>
      <c r="N54" s="420"/>
      <c r="O54" s="732"/>
      <c r="P54" s="758"/>
      <c r="Q54" s="722"/>
      <c r="R54" s="734"/>
      <c r="S54" s="704">
        <f t="shared" si="4"/>
        <v>2336880</v>
      </c>
      <c r="T54" s="704">
        <f t="shared" si="5"/>
        <v>2570961.2994277417</v>
      </c>
    </row>
    <row r="55" spans="1:20" ht="16.5" customHeight="1">
      <c r="A55" s="708">
        <f t="shared" si="6"/>
        <v>50</v>
      </c>
      <c r="B55" s="291" t="s">
        <v>688</v>
      </c>
      <c r="C55" s="726">
        <v>42383</v>
      </c>
      <c r="D55" s="727" t="s">
        <v>921</v>
      </c>
      <c r="E55" s="803">
        <v>43</v>
      </c>
      <c r="F55" s="802">
        <v>29</v>
      </c>
      <c r="G55" s="802">
        <v>20</v>
      </c>
      <c r="H55" s="798">
        <f t="shared" si="2"/>
        <v>0.77</v>
      </c>
      <c r="I55" s="257">
        <v>621</v>
      </c>
      <c r="J55" s="709">
        <f t="shared" ref="J55:J118" si="10">H55*I55</f>
        <v>478.17</v>
      </c>
      <c r="K55" s="709">
        <f t="shared" si="0"/>
        <v>6424.0660713894113</v>
      </c>
      <c r="L55" s="626">
        <v>6450</v>
      </c>
      <c r="M55" s="723"/>
      <c r="O55" s="704"/>
      <c r="P55" s="704"/>
      <c r="Q55" s="704"/>
      <c r="S55" s="704">
        <f t="shared" si="4"/>
        <v>4005450</v>
      </c>
      <c r="T55" s="704">
        <f t="shared" si="5"/>
        <v>3989345.0303328242</v>
      </c>
    </row>
    <row r="56" spans="1:20" ht="16.5" customHeight="1">
      <c r="A56" s="708">
        <f t="shared" si="6"/>
        <v>51</v>
      </c>
      <c r="B56" s="291" t="s">
        <v>728</v>
      </c>
      <c r="C56" s="726">
        <v>42383</v>
      </c>
      <c r="D56" s="727" t="s">
        <v>922</v>
      </c>
      <c r="E56" s="803">
        <v>105</v>
      </c>
      <c r="F56" s="802">
        <v>126</v>
      </c>
      <c r="G56" s="802"/>
      <c r="H56" s="798">
        <f t="shared" si="2"/>
        <v>1.32</v>
      </c>
      <c r="I56" s="257">
        <v>170</v>
      </c>
      <c r="J56" s="709">
        <f t="shared" si="10"/>
        <v>224.4</v>
      </c>
      <c r="K56" s="709">
        <f t="shared" si="0"/>
        <v>11012.684693810421</v>
      </c>
      <c r="L56" s="626">
        <v>12039</v>
      </c>
      <c r="M56" s="723"/>
      <c r="O56" s="704"/>
      <c r="P56" s="704"/>
      <c r="Q56" s="704"/>
      <c r="S56" s="704">
        <f t="shared" si="4"/>
        <v>2046630</v>
      </c>
      <c r="T56" s="704">
        <f t="shared" si="5"/>
        <v>1872156.3979477715</v>
      </c>
    </row>
    <row r="57" spans="1:20" ht="16.5" customHeight="1">
      <c r="A57" s="708">
        <f t="shared" si="6"/>
        <v>52</v>
      </c>
      <c r="B57" s="291" t="s">
        <v>736</v>
      </c>
      <c r="C57" s="726">
        <v>42383</v>
      </c>
      <c r="D57" s="727" t="s">
        <v>922</v>
      </c>
      <c r="E57" s="803">
        <v>85</v>
      </c>
      <c r="F57" s="802">
        <v>114</v>
      </c>
      <c r="G57" s="802"/>
      <c r="H57" s="798">
        <f t="shared" si="2"/>
        <v>0.97</v>
      </c>
      <c r="I57" s="257">
        <v>40</v>
      </c>
      <c r="J57" s="709">
        <f t="shared" si="10"/>
        <v>38.799999999999997</v>
      </c>
      <c r="K57" s="709">
        <f t="shared" si="0"/>
        <v>8092.654661360687</v>
      </c>
      <c r="L57" s="626">
        <v>8818</v>
      </c>
      <c r="M57" s="723"/>
      <c r="O57" s="704"/>
      <c r="P57" s="704"/>
      <c r="Q57" s="704"/>
      <c r="S57" s="704">
        <f t="shared" si="4"/>
        <v>352720</v>
      </c>
      <c r="T57" s="704">
        <f t="shared" si="5"/>
        <v>323706.18645442749</v>
      </c>
    </row>
    <row r="58" spans="1:20" ht="16.5" customHeight="1">
      <c r="A58" s="708">
        <f t="shared" si="6"/>
        <v>53</v>
      </c>
      <c r="B58" s="291" t="s">
        <v>1246</v>
      </c>
      <c r="C58" s="726">
        <v>42383</v>
      </c>
      <c r="D58" s="727" t="s">
        <v>922</v>
      </c>
      <c r="E58" s="803">
        <v>80</v>
      </c>
      <c r="F58" s="802">
        <v>108</v>
      </c>
      <c r="G58" s="802"/>
      <c r="H58" s="798">
        <f t="shared" si="2"/>
        <v>0.86</v>
      </c>
      <c r="I58" s="257">
        <v>25</v>
      </c>
      <c r="J58" s="709">
        <f t="shared" si="10"/>
        <v>21.5</v>
      </c>
      <c r="K58" s="709">
        <f t="shared" si="0"/>
        <v>7174.9309368764852</v>
      </c>
      <c r="L58" s="626">
        <v>7862</v>
      </c>
      <c r="M58" s="723"/>
      <c r="O58" s="704"/>
      <c r="P58" s="704"/>
      <c r="Q58" s="704"/>
      <c r="S58" s="704">
        <f t="shared" si="4"/>
        <v>196550</v>
      </c>
      <c r="T58" s="704">
        <f t="shared" si="5"/>
        <v>179373.27342191213</v>
      </c>
    </row>
    <row r="59" spans="1:20" ht="16.5" customHeight="1">
      <c r="A59" s="708">
        <f t="shared" si="6"/>
        <v>54</v>
      </c>
      <c r="B59" s="291" t="s">
        <v>1247</v>
      </c>
      <c r="C59" s="726">
        <v>42383</v>
      </c>
      <c r="D59" s="727" t="s">
        <v>922</v>
      </c>
      <c r="E59" s="803">
        <v>90</v>
      </c>
      <c r="F59" s="802">
        <v>124</v>
      </c>
      <c r="G59" s="802"/>
      <c r="H59" s="798">
        <f t="shared" si="2"/>
        <v>1.1200000000000001</v>
      </c>
      <c r="I59" s="257">
        <v>10</v>
      </c>
      <c r="J59" s="709">
        <f t="shared" si="10"/>
        <v>11.200000000000001</v>
      </c>
      <c r="K59" s="709">
        <f t="shared" si="0"/>
        <v>9344.0961038391451</v>
      </c>
      <c r="L59" s="626">
        <v>10156</v>
      </c>
      <c r="M59" s="723"/>
      <c r="O59" s="704"/>
      <c r="P59" s="704"/>
      <c r="Q59" s="704"/>
      <c r="S59" s="704">
        <f t="shared" si="4"/>
        <v>101560</v>
      </c>
      <c r="T59" s="704">
        <f t="shared" si="5"/>
        <v>93440.961038391455</v>
      </c>
    </row>
    <row r="60" spans="1:20" ht="16.5" customHeight="1">
      <c r="A60" s="708">
        <f t="shared" si="6"/>
        <v>55</v>
      </c>
      <c r="B60" s="291" t="s">
        <v>1248</v>
      </c>
      <c r="C60" s="726">
        <v>42383</v>
      </c>
      <c r="D60" s="727" t="s">
        <v>922</v>
      </c>
      <c r="E60" s="803">
        <v>95</v>
      </c>
      <c r="F60" s="802">
        <v>112</v>
      </c>
      <c r="G60" s="802"/>
      <c r="H60" s="798">
        <f t="shared" si="2"/>
        <v>1.06</v>
      </c>
      <c r="I60" s="257">
        <v>580</v>
      </c>
      <c r="J60" s="709">
        <f t="shared" si="10"/>
        <v>614.80000000000007</v>
      </c>
      <c r="K60" s="709">
        <f t="shared" si="0"/>
        <v>8843.5195268477619</v>
      </c>
      <c r="L60" s="626">
        <v>8938</v>
      </c>
      <c r="M60" s="723"/>
      <c r="O60" s="704"/>
      <c r="P60" s="704"/>
      <c r="Q60" s="704"/>
      <c r="S60" s="704">
        <f t="shared" si="4"/>
        <v>5184040</v>
      </c>
      <c r="T60" s="704">
        <f t="shared" si="5"/>
        <v>5129241.3255717019</v>
      </c>
    </row>
    <row r="61" spans="1:20" ht="16.5" customHeight="1">
      <c r="A61" s="708">
        <f t="shared" ref="A61:A92" si="11">IF(B59&lt;&gt;"",A60+1,"")</f>
        <v>56</v>
      </c>
      <c r="B61" s="291" t="s">
        <v>1249</v>
      </c>
      <c r="C61" s="726">
        <v>42383</v>
      </c>
      <c r="D61" s="727" t="s">
        <v>922</v>
      </c>
      <c r="E61" s="803">
        <v>75</v>
      </c>
      <c r="F61" s="802">
        <v>127</v>
      </c>
      <c r="G61" s="802"/>
      <c r="H61" s="798">
        <f t="shared" si="2"/>
        <v>0.95</v>
      </c>
      <c r="I61" s="257">
        <v>900</v>
      </c>
      <c r="J61" s="709">
        <f t="shared" si="10"/>
        <v>855</v>
      </c>
      <c r="K61" s="709">
        <f t="shared" si="0"/>
        <v>7925.7958023635592</v>
      </c>
      <c r="L61" s="626">
        <v>8287</v>
      </c>
      <c r="M61" s="723"/>
      <c r="O61" s="704"/>
      <c r="P61" s="704"/>
      <c r="Q61" s="704"/>
      <c r="S61" s="704">
        <f t="shared" si="4"/>
        <v>7458300</v>
      </c>
      <c r="T61" s="704">
        <f t="shared" si="5"/>
        <v>7133216.2221272029</v>
      </c>
    </row>
    <row r="62" spans="1:20" ht="16.5" customHeight="1">
      <c r="A62" s="708">
        <f t="shared" si="11"/>
        <v>57</v>
      </c>
      <c r="B62" s="291" t="s">
        <v>1250</v>
      </c>
      <c r="C62" s="726">
        <v>42383</v>
      </c>
      <c r="D62" s="727" t="s">
        <v>922</v>
      </c>
      <c r="E62" s="803">
        <v>68</v>
      </c>
      <c r="F62" s="802">
        <v>106</v>
      </c>
      <c r="G62" s="802"/>
      <c r="H62" s="798">
        <f t="shared" si="2"/>
        <v>0.72</v>
      </c>
      <c r="I62" s="257">
        <v>12</v>
      </c>
      <c r="J62" s="709">
        <f t="shared" si="10"/>
        <v>8.64</v>
      </c>
      <c r="K62" s="709">
        <f t="shared" si="0"/>
        <v>6006.9189238965928</v>
      </c>
      <c r="L62" s="626">
        <v>13653</v>
      </c>
      <c r="M62" s="723"/>
      <c r="O62" s="704"/>
      <c r="P62" s="704"/>
      <c r="Q62" s="704"/>
      <c r="S62" s="704">
        <f t="shared" si="4"/>
        <v>163836</v>
      </c>
      <c r="T62" s="704">
        <f t="shared" si="5"/>
        <v>72083.027086759117</v>
      </c>
    </row>
    <row r="63" spans="1:20" ht="16.5" customHeight="1">
      <c r="A63" s="708">
        <f t="shared" si="11"/>
        <v>58</v>
      </c>
      <c r="B63" s="291" t="s">
        <v>1251</v>
      </c>
      <c r="C63" s="726">
        <v>42383</v>
      </c>
      <c r="D63" s="727" t="s">
        <v>922</v>
      </c>
      <c r="E63" s="803">
        <v>72</v>
      </c>
      <c r="F63" s="802">
        <v>128</v>
      </c>
      <c r="G63" s="802"/>
      <c r="H63" s="798">
        <f t="shared" si="2"/>
        <v>0.92</v>
      </c>
      <c r="I63" s="257">
        <v>13</v>
      </c>
      <c r="J63" s="709">
        <f t="shared" si="10"/>
        <v>11.96</v>
      </c>
      <c r="K63" s="709">
        <f t="shared" si="0"/>
        <v>7675.5075138678685</v>
      </c>
      <c r="L63" s="626">
        <v>8832</v>
      </c>
      <c r="M63" s="723"/>
      <c r="O63" s="704"/>
      <c r="P63" s="704"/>
      <c r="Q63" s="704"/>
      <c r="S63" s="704">
        <f t="shared" si="4"/>
        <v>114816</v>
      </c>
      <c r="T63" s="704">
        <f t="shared" si="5"/>
        <v>99781.597680282284</v>
      </c>
    </row>
    <row r="64" spans="1:20" ht="16.5" customHeight="1">
      <c r="A64" s="708">
        <f t="shared" si="11"/>
        <v>59</v>
      </c>
      <c r="B64" s="291" t="s">
        <v>471</v>
      </c>
      <c r="C64" s="726">
        <v>42385</v>
      </c>
      <c r="D64" s="727" t="s">
        <v>923</v>
      </c>
      <c r="E64" s="803">
        <v>55</v>
      </c>
      <c r="F64" s="802">
        <v>45</v>
      </c>
      <c r="G64" s="802">
        <v>29</v>
      </c>
      <c r="H64" s="798">
        <f t="shared" si="2"/>
        <v>1.58</v>
      </c>
      <c r="I64" s="257">
        <v>619</v>
      </c>
      <c r="J64" s="709">
        <f t="shared" si="10"/>
        <v>978.0200000000001</v>
      </c>
      <c r="K64" s="709">
        <f t="shared" si="0"/>
        <v>13181.849860773078</v>
      </c>
      <c r="L64" s="626">
        <v>9700</v>
      </c>
      <c r="M64" s="723"/>
      <c r="O64" s="704"/>
      <c r="P64" s="704"/>
      <c r="Q64" s="704"/>
      <c r="S64" s="704">
        <f t="shared" si="4"/>
        <v>6004300</v>
      </c>
      <c r="T64" s="704">
        <f t="shared" si="5"/>
        <v>8159565.0638185358</v>
      </c>
    </row>
    <row r="65" spans="1:20" ht="16.5" customHeight="1">
      <c r="A65" s="708">
        <f t="shared" si="11"/>
        <v>60</v>
      </c>
      <c r="B65" s="291" t="s">
        <v>924</v>
      </c>
      <c r="C65" s="726">
        <v>42385</v>
      </c>
      <c r="D65" s="727" t="s">
        <v>925</v>
      </c>
      <c r="E65" s="803">
        <v>36.5</v>
      </c>
      <c r="F65" s="802">
        <v>25.5</v>
      </c>
      <c r="G65" s="802">
        <v>20</v>
      </c>
      <c r="H65" s="798">
        <f t="shared" si="2"/>
        <v>0.63</v>
      </c>
      <c r="I65" s="257">
        <v>200</v>
      </c>
      <c r="J65" s="709">
        <f t="shared" si="10"/>
        <v>126</v>
      </c>
      <c r="K65" s="709">
        <f t="shared" si="0"/>
        <v>5256.0540584095188</v>
      </c>
      <c r="L65" s="626">
        <v>6000</v>
      </c>
      <c r="M65" s="723"/>
      <c r="O65" s="704"/>
      <c r="P65" s="704"/>
      <c r="Q65" s="704"/>
      <c r="S65" s="704">
        <f t="shared" si="4"/>
        <v>1200000</v>
      </c>
      <c r="T65" s="704">
        <f t="shared" si="5"/>
        <v>1051210.8116819037</v>
      </c>
    </row>
    <row r="66" spans="1:20" ht="16.5" customHeight="1">
      <c r="A66" s="708">
        <f t="shared" si="11"/>
        <v>61</v>
      </c>
      <c r="B66" s="291" t="s">
        <v>926</v>
      </c>
      <c r="C66" s="726">
        <v>42385</v>
      </c>
      <c r="D66" s="727" t="s">
        <v>925</v>
      </c>
      <c r="E66" s="803">
        <v>33.5</v>
      </c>
      <c r="F66" s="802">
        <v>25</v>
      </c>
      <c r="G66" s="802">
        <v>26</v>
      </c>
      <c r="H66" s="798">
        <f t="shared" si="2"/>
        <v>0.66</v>
      </c>
      <c r="I66" s="257">
        <v>200</v>
      </c>
      <c r="J66" s="709">
        <f t="shared" si="10"/>
        <v>132</v>
      </c>
      <c r="K66" s="709">
        <f t="shared" si="0"/>
        <v>5506.3423469052104</v>
      </c>
      <c r="L66" s="626">
        <v>5900</v>
      </c>
      <c r="M66" s="723"/>
      <c r="O66" s="704"/>
      <c r="P66" s="704"/>
      <c r="Q66" s="704"/>
      <c r="S66" s="704">
        <f t="shared" si="4"/>
        <v>1180000</v>
      </c>
      <c r="T66" s="704">
        <f t="shared" si="5"/>
        <v>1101268.4693810421</v>
      </c>
    </row>
    <row r="67" spans="1:20" ht="16.5" customHeight="1">
      <c r="A67" s="708">
        <f t="shared" si="11"/>
        <v>62</v>
      </c>
      <c r="B67" s="291" t="s">
        <v>927</v>
      </c>
      <c r="C67" s="726">
        <v>42385</v>
      </c>
      <c r="D67" s="727" t="s">
        <v>925</v>
      </c>
      <c r="E67" s="803">
        <v>30.5</v>
      </c>
      <c r="F67" s="802">
        <v>23</v>
      </c>
      <c r="G67" s="802">
        <v>31</v>
      </c>
      <c r="H67" s="798">
        <f t="shared" si="2"/>
        <v>0.64</v>
      </c>
      <c r="I67" s="257">
        <v>200</v>
      </c>
      <c r="J67" s="709">
        <f t="shared" si="10"/>
        <v>128</v>
      </c>
      <c r="K67" s="709">
        <f t="shared" si="0"/>
        <v>5339.4834879080827</v>
      </c>
      <c r="L67" s="626">
        <v>6000</v>
      </c>
      <c r="M67" s="723"/>
      <c r="O67" s="704"/>
      <c r="P67" s="704"/>
      <c r="Q67" s="704"/>
      <c r="S67" s="704">
        <f t="shared" si="4"/>
        <v>1200000</v>
      </c>
      <c r="T67" s="704">
        <f t="shared" si="5"/>
        <v>1067896.6975816165</v>
      </c>
    </row>
    <row r="68" spans="1:20" ht="16.5" customHeight="1">
      <c r="A68" s="708">
        <f t="shared" si="11"/>
        <v>63</v>
      </c>
      <c r="B68" s="291" t="s">
        <v>928</v>
      </c>
      <c r="C68" s="726">
        <v>42388</v>
      </c>
      <c r="D68" s="727" t="s">
        <v>929</v>
      </c>
      <c r="E68" s="803">
        <v>56</v>
      </c>
      <c r="F68" s="802">
        <v>42</v>
      </c>
      <c r="G68" s="802">
        <v>27</v>
      </c>
      <c r="H68" s="798">
        <f t="shared" si="2"/>
        <v>1.45</v>
      </c>
      <c r="I68" s="257">
        <v>35</v>
      </c>
      <c r="J68" s="709">
        <f t="shared" si="10"/>
        <v>50.75</v>
      </c>
      <c r="K68" s="709">
        <f t="shared" si="0"/>
        <v>12097.267277291749</v>
      </c>
      <c r="L68" s="626">
        <v>14600</v>
      </c>
      <c r="M68" s="723"/>
      <c r="O68" s="704"/>
      <c r="P68" s="704"/>
      <c r="Q68" s="704"/>
      <c r="S68" s="704">
        <f t="shared" si="4"/>
        <v>511000</v>
      </c>
      <c r="T68" s="704">
        <f t="shared" si="5"/>
        <v>423404.35470521118</v>
      </c>
    </row>
    <row r="69" spans="1:20" ht="16.5" customHeight="1">
      <c r="A69" s="708">
        <f t="shared" si="11"/>
        <v>64</v>
      </c>
      <c r="B69" s="291" t="s">
        <v>930</v>
      </c>
      <c r="C69" s="726">
        <v>42388</v>
      </c>
      <c r="D69" s="727" t="s">
        <v>929</v>
      </c>
      <c r="E69" s="803">
        <v>73</v>
      </c>
      <c r="F69" s="802">
        <v>27</v>
      </c>
      <c r="G69" s="802">
        <v>32</v>
      </c>
      <c r="H69" s="798">
        <f t="shared" si="2"/>
        <v>1.27</v>
      </c>
      <c r="I69" s="257">
        <v>55</v>
      </c>
      <c r="J69" s="709">
        <f t="shared" si="10"/>
        <v>69.849999999999994</v>
      </c>
      <c r="K69" s="709">
        <f t="shared" si="0"/>
        <v>10595.537546317601</v>
      </c>
      <c r="L69" s="626">
        <v>9000</v>
      </c>
      <c r="M69" s="723"/>
      <c r="O69" s="704"/>
      <c r="P69" s="704"/>
      <c r="Q69" s="704"/>
      <c r="S69" s="704">
        <f t="shared" si="4"/>
        <v>495000</v>
      </c>
      <c r="T69" s="704">
        <f t="shared" si="5"/>
        <v>582754.56504746806</v>
      </c>
    </row>
    <row r="70" spans="1:20" ht="16.5" customHeight="1">
      <c r="A70" s="708">
        <f t="shared" si="11"/>
        <v>65</v>
      </c>
      <c r="B70" s="291" t="s">
        <v>931</v>
      </c>
      <c r="C70" s="726">
        <v>42388</v>
      </c>
      <c r="D70" s="727" t="s">
        <v>929</v>
      </c>
      <c r="E70" s="803">
        <v>48</v>
      </c>
      <c r="F70" s="802">
        <v>42</v>
      </c>
      <c r="G70" s="802">
        <v>29</v>
      </c>
      <c r="H70" s="798">
        <f t="shared" si="2"/>
        <v>1.37</v>
      </c>
      <c r="I70" s="257">
        <v>50</v>
      </c>
      <c r="J70" s="709">
        <f t="shared" si="10"/>
        <v>68.5</v>
      </c>
      <c r="K70" s="709">
        <f t="shared" ref="K70:K133" si="12">H70*$R$43</f>
        <v>11429.831841303239</v>
      </c>
      <c r="L70" s="626">
        <v>13900</v>
      </c>
      <c r="M70" s="723"/>
      <c r="O70" s="704"/>
      <c r="P70" s="704"/>
      <c r="Q70" s="704"/>
      <c r="S70" s="704">
        <f t="shared" si="4"/>
        <v>695000</v>
      </c>
      <c r="T70" s="704">
        <f t="shared" si="5"/>
        <v>571491.59206516203</v>
      </c>
    </row>
    <row r="71" spans="1:20" ht="16.5" customHeight="1">
      <c r="A71" s="708">
        <f t="shared" si="11"/>
        <v>66</v>
      </c>
      <c r="B71" s="291" t="s">
        <v>510</v>
      </c>
      <c r="C71" s="726">
        <v>42388</v>
      </c>
      <c r="D71" s="727" t="s">
        <v>929</v>
      </c>
      <c r="E71" s="803">
        <v>47</v>
      </c>
      <c r="F71" s="802">
        <v>42</v>
      </c>
      <c r="G71" s="802">
        <v>24.5</v>
      </c>
      <c r="H71" s="798">
        <f t="shared" ref="H71:H134" si="13">IF(G71&lt;&gt;"",ROUND(((E71+F71)*2+5)*(F71+G71+3)/10000,2),ROUND(E71*F71/10000,2))</f>
        <v>1.27</v>
      </c>
      <c r="I71" s="257">
        <v>510</v>
      </c>
      <c r="J71" s="709">
        <f t="shared" si="10"/>
        <v>647.70000000000005</v>
      </c>
      <c r="K71" s="709">
        <f t="shared" si="12"/>
        <v>10595.537546317601</v>
      </c>
      <c r="L71" s="626">
        <v>8950</v>
      </c>
      <c r="M71" s="723"/>
      <c r="O71" s="704"/>
      <c r="P71" s="704"/>
      <c r="Q71" s="704"/>
      <c r="S71" s="704">
        <f t="shared" ref="S71:S134" si="14">I71*L71</f>
        <v>4564500</v>
      </c>
      <c r="T71" s="704">
        <f t="shared" ref="T71:T134" si="15">I71*K71</f>
        <v>5403724.1486219764</v>
      </c>
    </row>
    <row r="72" spans="1:20" ht="16.5" customHeight="1">
      <c r="A72" s="708">
        <f t="shared" si="11"/>
        <v>67</v>
      </c>
      <c r="B72" s="291" t="s">
        <v>932</v>
      </c>
      <c r="C72" s="726">
        <v>42388</v>
      </c>
      <c r="D72" s="727" t="s">
        <v>929</v>
      </c>
      <c r="E72" s="803">
        <v>61</v>
      </c>
      <c r="F72" s="802">
        <v>40</v>
      </c>
      <c r="G72" s="802">
        <v>16</v>
      </c>
      <c r="H72" s="798">
        <f t="shared" si="13"/>
        <v>1.22</v>
      </c>
      <c r="I72" s="257">
        <v>235</v>
      </c>
      <c r="J72" s="709">
        <f t="shared" si="10"/>
        <v>286.7</v>
      </c>
      <c r="K72" s="709">
        <f t="shared" si="12"/>
        <v>10178.390398824782</v>
      </c>
      <c r="L72" s="626">
        <v>8800</v>
      </c>
      <c r="M72" s="723"/>
      <c r="O72" s="704"/>
      <c r="P72" s="704"/>
      <c r="Q72" s="704"/>
      <c r="S72" s="704">
        <f t="shared" si="14"/>
        <v>2068000</v>
      </c>
      <c r="T72" s="704">
        <f t="shared" si="15"/>
        <v>2391921.7437238237</v>
      </c>
    </row>
    <row r="73" spans="1:20" ht="16.5" customHeight="1">
      <c r="A73" s="708">
        <f t="shared" si="11"/>
        <v>68</v>
      </c>
      <c r="B73" s="291" t="s">
        <v>511</v>
      </c>
      <c r="C73" s="726">
        <v>42388</v>
      </c>
      <c r="D73" s="727" t="s">
        <v>929</v>
      </c>
      <c r="E73" s="803">
        <v>28</v>
      </c>
      <c r="F73" s="802">
        <v>28</v>
      </c>
      <c r="G73" s="802">
        <v>40</v>
      </c>
      <c r="H73" s="798">
        <f t="shared" si="13"/>
        <v>0.83</v>
      </c>
      <c r="I73" s="257">
        <v>110</v>
      </c>
      <c r="J73" s="709">
        <f t="shared" si="10"/>
        <v>91.3</v>
      </c>
      <c r="K73" s="709">
        <f t="shared" si="12"/>
        <v>6924.6426483807936</v>
      </c>
      <c r="L73" s="626">
        <v>6300</v>
      </c>
      <c r="M73" s="723"/>
      <c r="O73" s="704"/>
      <c r="P73" s="704"/>
      <c r="Q73" s="704"/>
      <c r="S73" s="704">
        <f t="shared" si="14"/>
        <v>693000</v>
      </c>
      <c r="T73" s="704">
        <f t="shared" si="15"/>
        <v>761710.69132188731</v>
      </c>
    </row>
    <row r="74" spans="1:20" ht="16.5" customHeight="1">
      <c r="A74" s="708">
        <f t="shared" si="11"/>
        <v>69</v>
      </c>
      <c r="B74" s="291" t="s">
        <v>933</v>
      </c>
      <c r="C74" s="726">
        <v>42388</v>
      </c>
      <c r="D74" s="727" t="s">
        <v>929</v>
      </c>
      <c r="E74" s="803">
        <v>38</v>
      </c>
      <c r="F74" s="802">
        <v>38</v>
      </c>
      <c r="G74" s="802">
        <v>27</v>
      </c>
      <c r="H74" s="798">
        <f t="shared" si="13"/>
        <v>1.07</v>
      </c>
      <c r="I74" s="257">
        <v>24</v>
      </c>
      <c r="J74" s="709">
        <f t="shared" si="10"/>
        <v>25.68</v>
      </c>
      <c r="K74" s="709">
        <f t="shared" si="12"/>
        <v>8926.9489563463248</v>
      </c>
      <c r="L74" s="626">
        <v>11100</v>
      </c>
      <c r="M74" s="723"/>
      <c r="O74" s="704"/>
      <c r="P74" s="704"/>
      <c r="Q74" s="704"/>
      <c r="S74" s="704">
        <f t="shared" si="14"/>
        <v>266400</v>
      </c>
      <c r="T74" s="704">
        <f t="shared" si="15"/>
        <v>214246.7749523118</v>
      </c>
    </row>
    <row r="75" spans="1:20" ht="16.5" customHeight="1">
      <c r="A75" s="708">
        <f t="shared" si="11"/>
        <v>70</v>
      </c>
      <c r="B75" s="291" t="s">
        <v>503</v>
      </c>
      <c r="C75" s="726">
        <v>42388</v>
      </c>
      <c r="D75" s="727" t="s">
        <v>929</v>
      </c>
      <c r="E75" s="803">
        <v>37</v>
      </c>
      <c r="F75" s="802">
        <v>37</v>
      </c>
      <c r="G75" s="802">
        <v>25</v>
      </c>
      <c r="H75" s="798">
        <f t="shared" si="13"/>
        <v>0.99</v>
      </c>
      <c r="I75" s="257">
        <v>55</v>
      </c>
      <c r="J75" s="709">
        <f t="shared" si="10"/>
        <v>54.45</v>
      </c>
      <c r="K75" s="709">
        <f t="shared" si="12"/>
        <v>8259.5135203578157</v>
      </c>
      <c r="L75" s="626">
        <v>7300</v>
      </c>
      <c r="M75" s="723"/>
      <c r="O75" s="704"/>
      <c r="P75" s="704"/>
      <c r="Q75" s="704"/>
      <c r="S75" s="704">
        <f t="shared" si="14"/>
        <v>401500</v>
      </c>
      <c r="T75" s="704">
        <f t="shared" si="15"/>
        <v>454273.24361967988</v>
      </c>
    </row>
    <row r="76" spans="1:20" ht="16.5" customHeight="1">
      <c r="A76" s="708">
        <f t="shared" si="11"/>
        <v>71</v>
      </c>
      <c r="B76" s="291" t="s">
        <v>1466</v>
      </c>
      <c r="C76" s="726">
        <v>42388</v>
      </c>
      <c r="D76" s="727" t="s">
        <v>934</v>
      </c>
      <c r="E76" s="803">
        <v>41</v>
      </c>
      <c r="F76" s="802">
        <v>41</v>
      </c>
      <c r="G76" s="802">
        <v>25</v>
      </c>
      <c r="H76" s="798">
        <f t="shared" si="13"/>
        <v>1.17</v>
      </c>
      <c r="I76" s="257">
        <v>2000</v>
      </c>
      <c r="J76" s="709">
        <f t="shared" si="10"/>
        <v>2340</v>
      </c>
      <c r="K76" s="709">
        <f t="shared" si="12"/>
        <v>9761.2432513319618</v>
      </c>
      <c r="L76" s="626">
        <v>11300</v>
      </c>
      <c r="M76" s="723"/>
      <c r="O76" s="704"/>
      <c r="P76" s="704"/>
      <c r="Q76" s="704"/>
      <c r="S76" s="704">
        <f t="shared" si="14"/>
        <v>22600000</v>
      </c>
      <c r="T76" s="704">
        <f t="shared" si="15"/>
        <v>19522486.502663925</v>
      </c>
    </row>
    <row r="77" spans="1:20" ht="16.5" customHeight="1">
      <c r="A77" s="708">
        <f t="shared" si="11"/>
        <v>72</v>
      </c>
      <c r="B77" s="291" t="s">
        <v>901</v>
      </c>
      <c r="C77" s="726">
        <v>42388</v>
      </c>
      <c r="D77" s="727" t="s">
        <v>935</v>
      </c>
      <c r="E77" s="803">
        <v>46</v>
      </c>
      <c r="F77" s="802">
        <v>36</v>
      </c>
      <c r="G77" s="802">
        <v>47</v>
      </c>
      <c r="H77" s="798">
        <f t="shared" si="13"/>
        <v>1.45</v>
      </c>
      <c r="I77" s="257">
        <v>2539</v>
      </c>
      <c r="J77" s="709">
        <f t="shared" si="10"/>
        <v>3681.5499999999997</v>
      </c>
      <c r="K77" s="709">
        <f t="shared" si="12"/>
        <v>12097.267277291749</v>
      </c>
      <c r="L77" s="626">
        <v>15000</v>
      </c>
      <c r="M77" s="723"/>
      <c r="O77" s="704"/>
      <c r="P77" s="704"/>
      <c r="Q77" s="704"/>
      <c r="S77" s="704">
        <f t="shared" si="14"/>
        <v>38085000</v>
      </c>
      <c r="T77" s="704">
        <f t="shared" si="15"/>
        <v>30714961.617043748</v>
      </c>
    </row>
    <row r="78" spans="1:20" ht="16.5" customHeight="1">
      <c r="A78" s="708">
        <f t="shared" si="11"/>
        <v>73</v>
      </c>
      <c r="B78" s="291" t="s">
        <v>657</v>
      </c>
      <c r="C78" s="726">
        <v>42389</v>
      </c>
      <c r="D78" s="727" t="s">
        <v>937</v>
      </c>
      <c r="E78" s="803">
        <v>40</v>
      </c>
      <c r="F78" s="802">
        <v>30</v>
      </c>
      <c r="G78" s="802">
        <v>18.5</v>
      </c>
      <c r="H78" s="798">
        <f t="shared" si="13"/>
        <v>0.75</v>
      </c>
      <c r="I78" s="257">
        <v>313</v>
      </c>
      <c r="J78" s="709">
        <f t="shared" si="10"/>
        <v>234.75</v>
      </c>
      <c r="K78" s="709">
        <f t="shared" si="12"/>
        <v>6257.2072123922844</v>
      </c>
      <c r="L78" s="626">
        <v>6400</v>
      </c>
      <c r="M78" s="723"/>
      <c r="O78" s="704"/>
      <c r="P78" s="704"/>
      <c r="Q78" s="704"/>
      <c r="S78" s="704">
        <f t="shared" si="14"/>
        <v>2003200</v>
      </c>
      <c r="T78" s="704">
        <f t="shared" si="15"/>
        <v>1958505.8574787851</v>
      </c>
    </row>
    <row r="79" spans="1:20" ht="16.5" customHeight="1">
      <c r="A79" s="708">
        <f t="shared" si="11"/>
        <v>74</v>
      </c>
      <c r="B79" s="291" t="s">
        <v>1474</v>
      </c>
      <c r="C79" s="726">
        <v>42389</v>
      </c>
      <c r="D79" s="727" t="s">
        <v>937</v>
      </c>
      <c r="E79" s="803">
        <v>49</v>
      </c>
      <c r="F79" s="802">
        <v>38</v>
      </c>
      <c r="G79" s="802">
        <v>12</v>
      </c>
      <c r="H79" s="798">
        <f t="shared" si="13"/>
        <v>0.95</v>
      </c>
      <c r="I79" s="257">
        <v>321</v>
      </c>
      <c r="J79" s="709">
        <f t="shared" si="10"/>
        <v>304.95</v>
      </c>
      <c r="K79" s="709">
        <f t="shared" si="12"/>
        <v>7925.7958023635592</v>
      </c>
      <c r="L79" s="626">
        <v>10500</v>
      </c>
      <c r="M79" s="723"/>
      <c r="O79" s="704"/>
      <c r="P79" s="704"/>
      <c r="Q79" s="704"/>
      <c r="S79" s="704">
        <f t="shared" si="14"/>
        <v>3370500</v>
      </c>
      <c r="T79" s="704">
        <f t="shared" si="15"/>
        <v>2544180.4525587023</v>
      </c>
    </row>
    <row r="80" spans="1:20" ht="16.5" customHeight="1">
      <c r="A80" s="708">
        <f t="shared" si="11"/>
        <v>75</v>
      </c>
      <c r="B80" s="291" t="s">
        <v>1474</v>
      </c>
      <c r="C80" s="726">
        <v>42389</v>
      </c>
      <c r="D80" s="727" t="s">
        <v>937</v>
      </c>
      <c r="E80" s="803">
        <v>49</v>
      </c>
      <c r="F80" s="802">
        <v>38</v>
      </c>
      <c r="G80" s="802">
        <v>12</v>
      </c>
      <c r="H80" s="798">
        <f t="shared" si="13"/>
        <v>0.95</v>
      </c>
      <c r="I80" s="257">
        <v>105</v>
      </c>
      <c r="J80" s="709">
        <f t="shared" si="10"/>
        <v>99.75</v>
      </c>
      <c r="K80" s="709">
        <f t="shared" si="12"/>
        <v>7925.7958023635592</v>
      </c>
      <c r="L80" s="626">
        <v>10500</v>
      </c>
      <c r="M80" s="723"/>
      <c r="O80" s="704"/>
      <c r="P80" s="704"/>
      <c r="Q80" s="704"/>
      <c r="S80" s="704">
        <f t="shared" si="14"/>
        <v>1102500</v>
      </c>
      <c r="T80" s="704">
        <f t="shared" si="15"/>
        <v>832208.55924817373</v>
      </c>
    </row>
    <row r="81" spans="1:20" ht="16.5" customHeight="1">
      <c r="A81" s="708">
        <f t="shared" si="11"/>
        <v>76</v>
      </c>
      <c r="B81" s="291" t="s">
        <v>1474</v>
      </c>
      <c r="C81" s="726">
        <v>42389</v>
      </c>
      <c r="D81" s="727" t="s">
        <v>937</v>
      </c>
      <c r="E81" s="803">
        <v>49</v>
      </c>
      <c r="F81" s="802">
        <v>38</v>
      </c>
      <c r="G81" s="802">
        <v>13</v>
      </c>
      <c r="H81" s="798">
        <f t="shared" si="13"/>
        <v>0.97</v>
      </c>
      <c r="I81" s="257">
        <v>203</v>
      </c>
      <c r="J81" s="709">
        <f t="shared" si="10"/>
        <v>196.91</v>
      </c>
      <c r="K81" s="709">
        <f t="shared" si="12"/>
        <v>8092.654661360687</v>
      </c>
      <c r="L81" s="626">
        <v>10500</v>
      </c>
      <c r="M81" s="723"/>
      <c r="O81" s="704"/>
      <c r="P81" s="704"/>
      <c r="Q81" s="704"/>
      <c r="S81" s="704">
        <f t="shared" si="14"/>
        <v>2131500</v>
      </c>
      <c r="T81" s="704">
        <f t="shared" si="15"/>
        <v>1642808.8962562194</v>
      </c>
    </row>
    <row r="82" spans="1:20" ht="16.5" customHeight="1">
      <c r="A82" s="708">
        <f t="shared" si="11"/>
        <v>77</v>
      </c>
      <c r="B82" s="291" t="s">
        <v>1340</v>
      </c>
      <c r="C82" s="726">
        <v>42389</v>
      </c>
      <c r="D82" s="727" t="s">
        <v>420</v>
      </c>
      <c r="E82" s="803">
        <v>42</v>
      </c>
      <c r="F82" s="802">
        <v>41</v>
      </c>
      <c r="G82" s="802">
        <v>34</v>
      </c>
      <c r="H82" s="798">
        <f t="shared" si="13"/>
        <v>1.33</v>
      </c>
      <c r="I82" s="257">
        <v>100</v>
      </c>
      <c r="J82" s="709">
        <f t="shared" si="10"/>
        <v>133</v>
      </c>
      <c r="K82" s="709">
        <f t="shared" si="12"/>
        <v>11096.114123308984</v>
      </c>
      <c r="L82" s="626">
        <v>19940</v>
      </c>
      <c r="M82" s="723"/>
      <c r="O82" s="704"/>
      <c r="P82" s="704"/>
      <c r="Q82" s="704"/>
      <c r="S82" s="704">
        <f t="shared" si="14"/>
        <v>1994000</v>
      </c>
      <c r="T82" s="704">
        <f t="shared" si="15"/>
        <v>1109611.4123308985</v>
      </c>
    </row>
    <row r="83" spans="1:20" ht="16.5" customHeight="1">
      <c r="A83" s="708">
        <f t="shared" si="11"/>
        <v>78</v>
      </c>
      <c r="B83" s="291" t="s">
        <v>419</v>
      </c>
      <c r="C83" s="726">
        <v>42390</v>
      </c>
      <c r="D83" s="727" t="s">
        <v>424</v>
      </c>
      <c r="E83" s="803">
        <v>52</v>
      </c>
      <c r="F83" s="802">
        <v>24.5</v>
      </c>
      <c r="G83" s="802">
        <v>24.5</v>
      </c>
      <c r="H83" s="798">
        <f t="shared" si="13"/>
        <v>0.82</v>
      </c>
      <c r="I83" s="257">
        <v>951</v>
      </c>
      <c r="J83" s="709">
        <f t="shared" si="10"/>
        <v>779.81999999999994</v>
      </c>
      <c r="K83" s="709">
        <f t="shared" si="12"/>
        <v>6841.2132188822297</v>
      </c>
      <c r="L83" s="626">
        <v>5000</v>
      </c>
      <c r="M83" s="723"/>
      <c r="O83" s="704"/>
      <c r="P83" s="704"/>
      <c r="Q83" s="704"/>
      <c r="S83" s="704">
        <f t="shared" si="14"/>
        <v>4755000</v>
      </c>
      <c r="T83" s="704">
        <f t="shared" si="15"/>
        <v>6505993.7711570002</v>
      </c>
    </row>
    <row r="84" spans="1:20" ht="16.5" customHeight="1">
      <c r="A84" s="708">
        <f t="shared" si="11"/>
        <v>79</v>
      </c>
      <c r="B84" s="291" t="s">
        <v>690</v>
      </c>
      <c r="C84" s="726">
        <v>42391</v>
      </c>
      <c r="D84" s="727" t="s">
        <v>425</v>
      </c>
      <c r="E84" s="803">
        <v>33</v>
      </c>
      <c r="F84" s="802">
        <v>31</v>
      </c>
      <c r="G84" s="802">
        <v>8.5</v>
      </c>
      <c r="H84" s="798">
        <f t="shared" si="13"/>
        <v>0.56999999999999995</v>
      </c>
      <c r="I84" s="257">
        <v>312</v>
      </c>
      <c r="J84" s="709">
        <f t="shared" si="10"/>
        <v>177.83999999999997</v>
      </c>
      <c r="K84" s="709">
        <f t="shared" si="12"/>
        <v>4755.4774814181355</v>
      </c>
      <c r="L84" s="626">
        <v>6400</v>
      </c>
      <c r="M84" s="723"/>
      <c r="O84" s="704"/>
      <c r="P84" s="704"/>
      <c r="Q84" s="704"/>
      <c r="S84" s="704">
        <f t="shared" si="14"/>
        <v>1996800</v>
      </c>
      <c r="T84" s="704">
        <f t="shared" si="15"/>
        <v>1483708.9742024583</v>
      </c>
    </row>
    <row r="85" spans="1:20" ht="16.5" customHeight="1">
      <c r="A85" s="708">
        <f t="shared" si="11"/>
        <v>80</v>
      </c>
      <c r="B85" s="291" t="s">
        <v>938</v>
      </c>
      <c r="C85" s="726">
        <v>42391</v>
      </c>
      <c r="D85" s="727" t="s">
        <v>425</v>
      </c>
      <c r="E85" s="803">
        <v>52</v>
      </c>
      <c r="F85" s="802">
        <v>29</v>
      </c>
      <c r="G85" s="802">
        <v>8.1999999999999993</v>
      </c>
      <c r="H85" s="798">
        <f t="shared" si="13"/>
        <v>0.67</v>
      </c>
      <c r="I85" s="257">
        <v>500</v>
      </c>
      <c r="J85" s="709">
        <f t="shared" si="10"/>
        <v>335</v>
      </c>
      <c r="K85" s="709">
        <f t="shared" si="12"/>
        <v>5589.7717764037743</v>
      </c>
      <c r="L85" s="626">
        <v>7700</v>
      </c>
      <c r="M85" s="723"/>
      <c r="O85" s="704"/>
      <c r="P85" s="704"/>
      <c r="Q85" s="704"/>
      <c r="S85" s="704">
        <f t="shared" si="14"/>
        <v>3850000</v>
      </c>
      <c r="T85" s="704">
        <f t="shared" si="15"/>
        <v>2794885.8882018873</v>
      </c>
    </row>
    <row r="86" spans="1:20" ht="16.5" customHeight="1">
      <c r="A86" s="708">
        <f t="shared" si="11"/>
        <v>81</v>
      </c>
      <c r="B86" s="291" t="s">
        <v>939</v>
      </c>
      <c r="C86" s="726">
        <v>42391</v>
      </c>
      <c r="D86" s="727" t="s">
        <v>425</v>
      </c>
      <c r="E86" s="803">
        <v>33</v>
      </c>
      <c r="F86" s="802">
        <v>23.5</v>
      </c>
      <c r="G86" s="802">
        <v>12.5</v>
      </c>
      <c r="H86" s="798">
        <f t="shared" si="13"/>
        <v>0.46</v>
      </c>
      <c r="I86" s="257">
        <v>348</v>
      </c>
      <c r="J86" s="709">
        <f t="shared" si="10"/>
        <v>160.08000000000001</v>
      </c>
      <c r="K86" s="709">
        <f t="shared" si="12"/>
        <v>3837.7537569339343</v>
      </c>
      <c r="L86" s="626">
        <v>5000</v>
      </c>
      <c r="M86" s="723"/>
      <c r="O86" s="704"/>
      <c r="P86" s="704"/>
      <c r="Q86" s="704"/>
      <c r="S86" s="704">
        <f t="shared" si="14"/>
        <v>1740000</v>
      </c>
      <c r="T86" s="704">
        <f t="shared" si="15"/>
        <v>1335538.3074130092</v>
      </c>
    </row>
    <row r="87" spans="1:20" ht="16.5" customHeight="1">
      <c r="A87" s="708">
        <f t="shared" si="11"/>
        <v>82</v>
      </c>
      <c r="B87" s="291" t="s">
        <v>1252</v>
      </c>
      <c r="C87" s="726">
        <v>42391</v>
      </c>
      <c r="D87" s="727" t="s">
        <v>427</v>
      </c>
      <c r="E87" s="803">
        <v>115</v>
      </c>
      <c r="F87" s="802">
        <v>114</v>
      </c>
      <c r="G87" s="802"/>
      <c r="H87" s="798">
        <f t="shared" si="13"/>
        <v>1.31</v>
      </c>
      <c r="I87" s="257">
        <v>22</v>
      </c>
      <c r="J87" s="709">
        <f t="shared" si="10"/>
        <v>28.82</v>
      </c>
      <c r="K87" s="709">
        <f t="shared" si="12"/>
        <v>10929.255264311856</v>
      </c>
      <c r="L87" s="626">
        <v>11799</v>
      </c>
      <c r="M87" s="723"/>
      <c r="O87" s="704"/>
      <c r="P87" s="704"/>
      <c r="Q87" s="704"/>
      <c r="S87" s="704">
        <f t="shared" si="14"/>
        <v>259578</v>
      </c>
      <c r="T87" s="704">
        <f t="shared" si="15"/>
        <v>240443.61581486082</v>
      </c>
    </row>
    <row r="88" spans="1:20" ht="16.5" customHeight="1">
      <c r="A88" s="708">
        <f t="shared" si="11"/>
        <v>83</v>
      </c>
      <c r="B88" s="291" t="s">
        <v>1253</v>
      </c>
      <c r="C88" s="726">
        <v>42391</v>
      </c>
      <c r="D88" s="727" t="s">
        <v>427</v>
      </c>
      <c r="E88" s="803">
        <v>100</v>
      </c>
      <c r="F88" s="802">
        <v>94</v>
      </c>
      <c r="G88" s="802"/>
      <c r="H88" s="798">
        <f t="shared" si="13"/>
        <v>0.94</v>
      </c>
      <c r="I88" s="257">
        <v>50</v>
      </c>
      <c r="J88" s="709">
        <f t="shared" si="10"/>
        <v>47</v>
      </c>
      <c r="K88" s="709">
        <f t="shared" si="12"/>
        <v>7842.3663728649954</v>
      </c>
      <c r="L88" s="626">
        <v>8272</v>
      </c>
      <c r="M88" s="723"/>
      <c r="O88" s="704"/>
      <c r="P88" s="704"/>
      <c r="Q88" s="704"/>
      <c r="S88" s="704">
        <f t="shared" si="14"/>
        <v>413600</v>
      </c>
      <c r="T88" s="704">
        <f t="shared" si="15"/>
        <v>392118.31864324975</v>
      </c>
    </row>
    <row r="89" spans="1:20" ht="16.5" customHeight="1">
      <c r="A89" s="708">
        <f t="shared" si="11"/>
        <v>84</v>
      </c>
      <c r="B89" s="291" t="s">
        <v>1238</v>
      </c>
      <c r="C89" s="726">
        <v>42391</v>
      </c>
      <c r="D89" s="727" t="s">
        <v>427</v>
      </c>
      <c r="E89" s="803">
        <v>115</v>
      </c>
      <c r="F89" s="802">
        <v>82</v>
      </c>
      <c r="G89" s="802"/>
      <c r="H89" s="798">
        <f t="shared" si="13"/>
        <v>0.94</v>
      </c>
      <c r="I89" s="257">
        <v>70</v>
      </c>
      <c r="J89" s="709">
        <f t="shared" si="10"/>
        <v>65.8</v>
      </c>
      <c r="K89" s="709">
        <f t="shared" si="12"/>
        <v>7842.3663728649954</v>
      </c>
      <c r="L89" s="626">
        <v>5752</v>
      </c>
      <c r="M89" s="723"/>
      <c r="O89" s="704"/>
      <c r="P89" s="704"/>
      <c r="Q89" s="704"/>
      <c r="S89" s="704">
        <f t="shared" si="14"/>
        <v>402640</v>
      </c>
      <c r="T89" s="704">
        <f t="shared" si="15"/>
        <v>548965.64610054973</v>
      </c>
    </row>
    <row r="90" spans="1:20" ht="16.5" customHeight="1">
      <c r="A90" s="708">
        <f t="shared" si="11"/>
        <v>85</v>
      </c>
      <c r="B90" s="291" t="s">
        <v>741</v>
      </c>
      <c r="C90" s="726">
        <v>42391</v>
      </c>
      <c r="D90" s="727" t="s">
        <v>427</v>
      </c>
      <c r="E90" s="803">
        <v>110</v>
      </c>
      <c r="F90" s="802">
        <v>76</v>
      </c>
      <c r="G90" s="802"/>
      <c r="H90" s="798">
        <f t="shared" si="13"/>
        <v>0.84</v>
      </c>
      <c r="I90" s="257">
        <v>297</v>
      </c>
      <c r="J90" s="709">
        <f t="shared" si="10"/>
        <v>249.48</v>
      </c>
      <c r="K90" s="709">
        <f t="shared" si="12"/>
        <v>7008.0720778793575</v>
      </c>
      <c r="L90" s="626">
        <v>4682</v>
      </c>
      <c r="M90" s="723"/>
      <c r="O90" s="704"/>
      <c r="P90" s="704"/>
      <c r="Q90" s="704"/>
      <c r="S90" s="704">
        <f t="shared" si="14"/>
        <v>1390554</v>
      </c>
      <c r="T90" s="704">
        <f t="shared" si="15"/>
        <v>2081397.4071301692</v>
      </c>
    </row>
    <row r="91" spans="1:20" ht="16.5" customHeight="1">
      <c r="A91" s="708">
        <f t="shared" si="11"/>
        <v>86</v>
      </c>
      <c r="B91" s="291" t="s">
        <v>1254</v>
      </c>
      <c r="C91" s="726">
        <v>42391</v>
      </c>
      <c r="D91" s="727" t="s">
        <v>427</v>
      </c>
      <c r="E91" s="803">
        <v>75</v>
      </c>
      <c r="F91" s="802">
        <v>128</v>
      </c>
      <c r="G91" s="802"/>
      <c r="H91" s="798">
        <f t="shared" si="13"/>
        <v>0.96</v>
      </c>
      <c r="I91" s="257">
        <v>900</v>
      </c>
      <c r="J91" s="709">
        <f t="shared" si="10"/>
        <v>864</v>
      </c>
      <c r="K91" s="709">
        <f t="shared" si="12"/>
        <v>8009.2252318621231</v>
      </c>
      <c r="L91" s="626">
        <v>8352</v>
      </c>
      <c r="M91" s="723"/>
      <c r="O91" s="704"/>
      <c r="P91" s="704"/>
      <c r="Q91" s="704"/>
      <c r="S91" s="704">
        <f t="shared" si="14"/>
        <v>7516800</v>
      </c>
      <c r="T91" s="704">
        <f t="shared" si="15"/>
        <v>7208302.7086759107</v>
      </c>
    </row>
    <row r="92" spans="1:20" ht="16.5" customHeight="1">
      <c r="A92" s="708">
        <f t="shared" si="11"/>
        <v>87</v>
      </c>
      <c r="B92" s="291" t="s">
        <v>739</v>
      </c>
      <c r="C92" s="726">
        <v>42391</v>
      </c>
      <c r="D92" s="727" t="s">
        <v>427</v>
      </c>
      <c r="E92" s="803">
        <v>85</v>
      </c>
      <c r="F92" s="802">
        <v>186</v>
      </c>
      <c r="G92" s="802"/>
      <c r="H92" s="798">
        <f t="shared" si="13"/>
        <v>1.58</v>
      </c>
      <c r="I92" s="257">
        <v>300</v>
      </c>
      <c r="J92" s="709">
        <f t="shared" si="10"/>
        <v>474</v>
      </c>
      <c r="K92" s="709">
        <f t="shared" si="12"/>
        <v>13181.849860773078</v>
      </c>
      <c r="L92" s="626">
        <v>13913</v>
      </c>
      <c r="M92" s="723"/>
      <c r="O92" s="704"/>
      <c r="P92" s="704"/>
      <c r="Q92" s="704"/>
      <c r="S92" s="704">
        <f t="shared" si="14"/>
        <v>4173900</v>
      </c>
      <c r="T92" s="704">
        <f t="shared" si="15"/>
        <v>3954554.9582319236</v>
      </c>
    </row>
    <row r="93" spans="1:20" ht="16.5" customHeight="1">
      <c r="A93" s="708">
        <f t="shared" ref="A93:A124" si="16">IF(B91&lt;&gt;"",A92+1,"")</f>
        <v>88</v>
      </c>
      <c r="B93" s="291" t="s">
        <v>743</v>
      </c>
      <c r="C93" s="726">
        <v>42391</v>
      </c>
      <c r="D93" s="727" t="s">
        <v>427</v>
      </c>
      <c r="E93" s="803">
        <v>125</v>
      </c>
      <c r="F93" s="802">
        <v>160</v>
      </c>
      <c r="G93" s="802"/>
      <c r="H93" s="798">
        <f t="shared" si="13"/>
        <v>2</v>
      </c>
      <c r="I93" s="257">
        <v>10</v>
      </c>
      <c r="J93" s="709">
        <f t="shared" si="10"/>
        <v>20</v>
      </c>
      <c r="K93" s="709">
        <f t="shared" si="12"/>
        <v>16685.885899712757</v>
      </c>
      <c r="L93" s="626">
        <v>18200</v>
      </c>
      <c r="M93" s="723"/>
      <c r="O93" s="704"/>
      <c r="P93" s="704"/>
      <c r="Q93" s="704"/>
      <c r="S93" s="704">
        <f t="shared" si="14"/>
        <v>182000</v>
      </c>
      <c r="T93" s="704">
        <f t="shared" si="15"/>
        <v>166858.85899712757</v>
      </c>
    </row>
    <row r="94" spans="1:20" ht="16.5" customHeight="1">
      <c r="A94" s="708">
        <f t="shared" si="16"/>
        <v>89</v>
      </c>
      <c r="B94" s="291" t="s">
        <v>1255</v>
      </c>
      <c r="C94" s="726">
        <v>42391</v>
      </c>
      <c r="D94" s="727" t="s">
        <v>427</v>
      </c>
      <c r="E94" s="803">
        <v>95</v>
      </c>
      <c r="F94" s="802">
        <v>184</v>
      </c>
      <c r="G94" s="802"/>
      <c r="H94" s="798">
        <f t="shared" si="13"/>
        <v>1.75</v>
      </c>
      <c r="I94" s="257">
        <v>10</v>
      </c>
      <c r="J94" s="709">
        <f t="shared" si="10"/>
        <v>17.5</v>
      </c>
      <c r="K94" s="709">
        <f t="shared" si="12"/>
        <v>14600.150162248663</v>
      </c>
      <c r="L94" s="626">
        <v>15907</v>
      </c>
      <c r="M94" s="723"/>
      <c r="O94" s="704"/>
      <c r="P94" s="704"/>
      <c r="Q94" s="704"/>
      <c r="S94" s="704">
        <f t="shared" si="14"/>
        <v>159070</v>
      </c>
      <c r="T94" s="704">
        <f t="shared" si="15"/>
        <v>146001.50162248663</v>
      </c>
    </row>
    <row r="95" spans="1:20" ht="16.5" customHeight="1">
      <c r="A95" s="708">
        <f t="shared" si="16"/>
        <v>90</v>
      </c>
      <c r="B95" s="291" t="s">
        <v>742</v>
      </c>
      <c r="C95" s="726">
        <v>42391</v>
      </c>
      <c r="D95" s="727" t="s">
        <v>427</v>
      </c>
      <c r="E95" s="803">
        <v>100</v>
      </c>
      <c r="F95" s="802">
        <v>98</v>
      </c>
      <c r="G95" s="802"/>
      <c r="H95" s="798">
        <f t="shared" si="13"/>
        <v>0.98</v>
      </c>
      <c r="I95" s="257">
        <v>10</v>
      </c>
      <c r="J95" s="709">
        <f t="shared" si="10"/>
        <v>9.8000000000000007</v>
      </c>
      <c r="K95" s="709">
        <f t="shared" si="12"/>
        <v>8176.0840908592509</v>
      </c>
      <c r="L95" s="626">
        <v>8918</v>
      </c>
      <c r="M95" s="723"/>
      <c r="O95" s="704"/>
      <c r="P95" s="704"/>
      <c r="Q95" s="704"/>
      <c r="S95" s="704">
        <f t="shared" si="14"/>
        <v>89180</v>
      </c>
      <c r="T95" s="704">
        <f t="shared" si="15"/>
        <v>81760.840908592509</v>
      </c>
    </row>
    <row r="96" spans="1:20" ht="16.5" customHeight="1">
      <c r="A96" s="708">
        <f t="shared" si="16"/>
        <v>91</v>
      </c>
      <c r="B96" s="291" t="s">
        <v>1241</v>
      </c>
      <c r="C96" s="726">
        <v>42391</v>
      </c>
      <c r="D96" s="727" t="s">
        <v>427</v>
      </c>
      <c r="E96" s="803">
        <v>95</v>
      </c>
      <c r="F96" s="802">
        <v>114</v>
      </c>
      <c r="G96" s="802"/>
      <c r="H96" s="798">
        <f t="shared" si="13"/>
        <v>1.08</v>
      </c>
      <c r="I96" s="257">
        <v>10</v>
      </c>
      <c r="J96" s="709">
        <f t="shared" si="10"/>
        <v>10.8</v>
      </c>
      <c r="K96" s="709">
        <f t="shared" si="12"/>
        <v>9010.3783858448896</v>
      </c>
      <c r="L96" s="626">
        <v>9855</v>
      </c>
      <c r="M96" s="723"/>
      <c r="O96" s="704"/>
      <c r="P96" s="704"/>
      <c r="Q96" s="704"/>
      <c r="S96" s="704">
        <f t="shared" si="14"/>
        <v>98550</v>
      </c>
      <c r="T96" s="704">
        <f t="shared" si="15"/>
        <v>90103.783858448893</v>
      </c>
    </row>
    <row r="97" spans="1:20" ht="16.5" customHeight="1">
      <c r="A97" s="708">
        <f t="shared" si="16"/>
        <v>92</v>
      </c>
      <c r="B97" s="291" t="s">
        <v>1340</v>
      </c>
      <c r="C97" s="726">
        <v>42394</v>
      </c>
      <c r="D97" s="727" t="s">
        <v>428</v>
      </c>
      <c r="E97" s="803">
        <v>42</v>
      </c>
      <c r="F97" s="802">
        <v>41</v>
      </c>
      <c r="G97" s="802">
        <v>34</v>
      </c>
      <c r="H97" s="798">
        <f t="shared" si="13"/>
        <v>1.33</v>
      </c>
      <c r="I97" s="257">
        <v>100</v>
      </c>
      <c r="J97" s="709">
        <f t="shared" si="10"/>
        <v>133</v>
      </c>
      <c r="K97" s="709">
        <f t="shared" si="12"/>
        <v>11096.114123308984</v>
      </c>
      <c r="L97" s="626">
        <v>19940</v>
      </c>
      <c r="M97" s="723"/>
      <c r="O97" s="704"/>
      <c r="P97" s="704"/>
      <c r="Q97" s="704"/>
      <c r="S97" s="704">
        <f t="shared" si="14"/>
        <v>1994000</v>
      </c>
      <c r="T97" s="704">
        <f t="shared" si="15"/>
        <v>1109611.4123308985</v>
      </c>
    </row>
    <row r="98" spans="1:20" ht="16.5" customHeight="1">
      <c r="A98" s="708">
        <f t="shared" si="16"/>
        <v>93</v>
      </c>
      <c r="B98" s="291" t="s">
        <v>1466</v>
      </c>
      <c r="C98" s="726">
        <v>42395</v>
      </c>
      <c r="D98" s="727" t="s">
        <v>940</v>
      </c>
      <c r="E98" s="803">
        <v>41</v>
      </c>
      <c r="F98" s="802">
        <v>41</v>
      </c>
      <c r="G98" s="802">
        <v>25</v>
      </c>
      <c r="H98" s="798">
        <f t="shared" si="13"/>
        <v>1.17</v>
      </c>
      <c r="I98" s="257">
        <v>1500</v>
      </c>
      <c r="J98" s="709">
        <f t="shared" si="10"/>
        <v>1755</v>
      </c>
      <c r="K98" s="709">
        <f t="shared" si="12"/>
        <v>9761.2432513319618</v>
      </c>
      <c r="L98" s="626">
        <v>11300</v>
      </c>
      <c r="M98" s="723"/>
      <c r="O98" s="704"/>
      <c r="P98" s="704"/>
      <c r="Q98" s="704"/>
      <c r="S98" s="704">
        <f t="shared" si="14"/>
        <v>16950000</v>
      </c>
      <c r="T98" s="704">
        <f t="shared" si="15"/>
        <v>14641864.876997942</v>
      </c>
    </row>
    <row r="99" spans="1:20" ht="16.5" customHeight="1">
      <c r="A99" s="708">
        <f t="shared" si="16"/>
        <v>94</v>
      </c>
      <c r="B99" s="291" t="s">
        <v>1337</v>
      </c>
      <c r="C99" s="726">
        <v>42395</v>
      </c>
      <c r="D99" s="727" t="s">
        <v>940</v>
      </c>
      <c r="E99" s="803">
        <v>43</v>
      </c>
      <c r="F99" s="802">
        <v>42</v>
      </c>
      <c r="G99" s="802">
        <v>26</v>
      </c>
      <c r="H99" s="798">
        <f t="shared" si="13"/>
        <v>1.24</v>
      </c>
      <c r="I99" s="257">
        <v>1300</v>
      </c>
      <c r="J99" s="709">
        <f t="shared" si="10"/>
        <v>1612</v>
      </c>
      <c r="K99" s="709">
        <f t="shared" si="12"/>
        <v>10345.24925782191</v>
      </c>
      <c r="L99" s="626">
        <v>11800</v>
      </c>
      <c r="M99" s="723"/>
      <c r="O99" s="704"/>
      <c r="P99" s="704"/>
      <c r="Q99" s="704"/>
      <c r="S99" s="704">
        <f t="shared" si="14"/>
        <v>15340000</v>
      </c>
      <c r="T99" s="704">
        <f t="shared" si="15"/>
        <v>13448824.035168482</v>
      </c>
    </row>
    <row r="100" spans="1:20" ht="16.5" customHeight="1">
      <c r="A100" s="708">
        <f t="shared" si="16"/>
        <v>95</v>
      </c>
      <c r="B100" s="291" t="s">
        <v>683</v>
      </c>
      <c r="C100" s="726">
        <v>42395</v>
      </c>
      <c r="D100" s="727" t="s">
        <v>431</v>
      </c>
      <c r="E100" s="803">
        <v>68</v>
      </c>
      <c r="F100" s="802">
        <v>68</v>
      </c>
      <c r="G100" s="802">
        <v>29</v>
      </c>
      <c r="H100" s="798">
        <f t="shared" si="13"/>
        <v>2.77</v>
      </c>
      <c r="I100" s="257">
        <v>50</v>
      </c>
      <c r="J100" s="709">
        <f t="shared" si="10"/>
        <v>138.5</v>
      </c>
      <c r="K100" s="709">
        <f t="shared" si="12"/>
        <v>23109.951971102168</v>
      </c>
      <c r="L100" s="626">
        <v>36036</v>
      </c>
      <c r="M100" s="723"/>
      <c r="O100" s="704"/>
      <c r="P100" s="704"/>
      <c r="Q100" s="704"/>
      <c r="S100" s="704">
        <f t="shared" si="14"/>
        <v>1801800</v>
      </c>
      <c r="T100" s="704">
        <f t="shared" si="15"/>
        <v>1155497.5985551083</v>
      </c>
    </row>
    <row r="101" spans="1:20" ht="16.5" customHeight="1">
      <c r="A101" s="708">
        <f t="shared" si="16"/>
        <v>96</v>
      </c>
      <c r="B101" s="291" t="s">
        <v>686</v>
      </c>
      <c r="C101" s="726">
        <v>42395</v>
      </c>
      <c r="D101" s="727" t="s">
        <v>431</v>
      </c>
      <c r="E101" s="803">
        <v>78</v>
      </c>
      <c r="F101" s="802">
        <v>45</v>
      </c>
      <c r="G101" s="802">
        <v>42</v>
      </c>
      <c r="H101" s="798">
        <f t="shared" si="13"/>
        <v>2.2599999999999998</v>
      </c>
      <c r="I101" s="257">
        <v>98</v>
      </c>
      <c r="J101" s="709">
        <f t="shared" si="10"/>
        <v>221.48</v>
      </c>
      <c r="K101" s="709">
        <f t="shared" si="12"/>
        <v>18855.051066675413</v>
      </c>
      <c r="L101" s="626">
        <v>29388</v>
      </c>
      <c r="M101" s="723"/>
      <c r="O101" s="704"/>
      <c r="P101" s="704"/>
      <c r="Q101" s="704"/>
      <c r="S101" s="704">
        <f t="shared" si="14"/>
        <v>2880024</v>
      </c>
      <c r="T101" s="704">
        <f t="shared" si="15"/>
        <v>1847795.0045341905</v>
      </c>
    </row>
    <row r="102" spans="1:20" ht="16.5" customHeight="1">
      <c r="A102" s="708">
        <f t="shared" si="16"/>
        <v>97</v>
      </c>
      <c r="B102" s="291" t="s">
        <v>685</v>
      </c>
      <c r="C102" s="726">
        <v>42395</v>
      </c>
      <c r="D102" s="727" t="s">
        <v>431</v>
      </c>
      <c r="E102" s="803">
        <v>78</v>
      </c>
      <c r="F102" s="802">
        <v>63</v>
      </c>
      <c r="G102" s="802">
        <v>31</v>
      </c>
      <c r="H102" s="798">
        <f t="shared" si="13"/>
        <v>2.78</v>
      </c>
      <c r="I102" s="257">
        <v>55</v>
      </c>
      <c r="J102" s="709">
        <f t="shared" si="10"/>
        <v>152.89999999999998</v>
      </c>
      <c r="K102" s="709">
        <f t="shared" si="12"/>
        <v>23193.381400600731</v>
      </c>
      <c r="L102" s="626">
        <v>36192</v>
      </c>
      <c r="M102" s="723"/>
      <c r="O102" s="704"/>
      <c r="P102" s="704"/>
      <c r="Q102" s="704"/>
      <c r="S102" s="704">
        <f t="shared" si="14"/>
        <v>1990560</v>
      </c>
      <c r="T102" s="704">
        <f t="shared" si="15"/>
        <v>1275635.9770330403</v>
      </c>
    </row>
    <row r="103" spans="1:20" ht="16.5" customHeight="1">
      <c r="A103" s="708">
        <f t="shared" si="16"/>
        <v>98</v>
      </c>
      <c r="B103" s="291" t="s">
        <v>1264</v>
      </c>
      <c r="C103" s="726">
        <v>42395</v>
      </c>
      <c r="D103" s="727" t="s">
        <v>432</v>
      </c>
      <c r="E103" s="803">
        <v>75</v>
      </c>
      <c r="F103" s="802">
        <v>42</v>
      </c>
      <c r="G103" s="802"/>
      <c r="H103" s="798">
        <f t="shared" si="13"/>
        <v>0.32</v>
      </c>
      <c r="I103" s="257">
        <v>196</v>
      </c>
      <c r="J103" s="709">
        <f t="shared" si="10"/>
        <v>62.72</v>
      </c>
      <c r="K103" s="709">
        <f t="shared" si="12"/>
        <v>2669.7417439540413</v>
      </c>
      <c r="L103" s="626">
        <v>2205</v>
      </c>
      <c r="M103" s="723"/>
      <c r="O103" s="704"/>
      <c r="P103" s="704"/>
      <c r="Q103" s="704"/>
      <c r="S103" s="704">
        <f t="shared" si="14"/>
        <v>432180</v>
      </c>
      <c r="T103" s="704">
        <f t="shared" si="15"/>
        <v>523269.38181499211</v>
      </c>
    </row>
    <row r="104" spans="1:20" ht="16.5" customHeight="1">
      <c r="A104" s="708">
        <f t="shared" si="16"/>
        <v>99</v>
      </c>
      <c r="B104" s="291" t="s">
        <v>1265</v>
      </c>
      <c r="C104" s="726">
        <v>42395</v>
      </c>
      <c r="D104" s="727" t="s">
        <v>432</v>
      </c>
      <c r="E104" s="803">
        <v>42</v>
      </c>
      <c r="F104" s="802">
        <v>39</v>
      </c>
      <c r="G104" s="802"/>
      <c r="H104" s="798">
        <f t="shared" si="13"/>
        <v>0.16</v>
      </c>
      <c r="I104" s="257">
        <v>500</v>
      </c>
      <c r="J104" s="709">
        <f t="shared" si="10"/>
        <v>80</v>
      </c>
      <c r="K104" s="709">
        <f t="shared" si="12"/>
        <v>1334.8708719770207</v>
      </c>
      <c r="L104" s="626">
        <v>1147</v>
      </c>
      <c r="M104" s="723"/>
      <c r="O104" s="704"/>
      <c r="P104" s="704"/>
      <c r="Q104" s="704"/>
      <c r="S104" s="704">
        <f t="shared" si="14"/>
        <v>573500</v>
      </c>
      <c r="T104" s="704">
        <f t="shared" si="15"/>
        <v>667435.43598851038</v>
      </c>
    </row>
    <row r="105" spans="1:20" ht="16.5" customHeight="1">
      <c r="A105" s="708">
        <f t="shared" si="16"/>
        <v>100</v>
      </c>
      <c r="B105" s="291" t="s">
        <v>1266</v>
      </c>
      <c r="C105" s="726">
        <v>42395</v>
      </c>
      <c r="D105" s="727" t="s">
        <v>432</v>
      </c>
      <c r="E105" s="803">
        <v>65</v>
      </c>
      <c r="F105" s="802">
        <v>65</v>
      </c>
      <c r="G105" s="802"/>
      <c r="H105" s="798">
        <f t="shared" si="13"/>
        <v>0.42</v>
      </c>
      <c r="I105" s="257">
        <v>100</v>
      </c>
      <c r="J105" s="709">
        <f t="shared" si="10"/>
        <v>42</v>
      </c>
      <c r="K105" s="709">
        <f t="shared" si="12"/>
        <v>3504.0360389396787</v>
      </c>
      <c r="L105" s="626">
        <v>2958</v>
      </c>
      <c r="M105" s="723"/>
      <c r="O105" s="704"/>
      <c r="P105" s="704"/>
      <c r="Q105" s="704"/>
      <c r="S105" s="704">
        <f t="shared" si="14"/>
        <v>295800</v>
      </c>
      <c r="T105" s="704">
        <f t="shared" si="15"/>
        <v>350403.60389396787</v>
      </c>
    </row>
    <row r="106" spans="1:20" ht="16.5" customHeight="1">
      <c r="A106" s="708">
        <f t="shared" si="16"/>
        <v>101</v>
      </c>
      <c r="B106" s="291" t="s">
        <v>1267</v>
      </c>
      <c r="C106" s="726">
        <v>42395</v>
      </c>
      <c r="D106" s="727" t="s">
        <v>432</v>
      </c>
      <c r="E106" s="803">
        <v>65</v>
      </c>
      <c r="F106" s="802">
        <v>26</v>
      </c>
      <c r="G106" s="802"/>
      <c r="H106" s="798">
        <f t="shared" si="13"/>
        <v>0.17</v>
      </c>
      <c r="I106" s="257">
        <v>50</v>
      </c>
      <c r="J106" s="709">
        <f t="shared" si="10"/>
        <v>8.5</v>
      </c>
      <c r="K106" s="709">
        <f t="shared" si="12"/>
        <v>1418.3003014755845</v>
      </c>
      <c r="L106" s="626">
        <v>1183</v>
      </c>
      <c r="M106" s="723"/>
      <c r="O106" s="704"/>
      <c r="P106" s="704"/>
      <c r="Q106" s="704"/>
      <c r="S106" s="704">
        <f t="shared" si="14"/>
        <v>59150</v>
      </c>
      <c r="T106" s="704">
        <f t="shared" si="15"/>
        <v>70915.015073779228</v>
      </c>
    </row>
    <row r="107" spans="1:20" ht="16.5" customHeight="1">
      <c r="A107" s="708">
        <f t="shared" si="16"/>
        <v>102</v>
      </c>
      <c r="B107" s="291" t="s">
        <v>1268</v>
      </c>
      <c r="C107" s="726">
        <v>42395</v>
      </c>
      <c r="D107" s="727" t="s">
        <v>432</v>
      </c>
      <c r="E107" s="803">
        <v>32</v>
      </c>
      <c r="F107" s="802">
        <v>27</v>
      </c>
      <c r="G107" s="802"/>
      <c r="H107" s="798">
        <f t="shared" si="13"/>
        <v>0.09</v>
      </c>
      <c r="I107" s="257">
        <v>400</v>
      </c>
      <c r="J107" s="709">
        <f t="shared" si="10"/>
        <v>36</v>
      </c>
      <c r="K107" s="709">
        <f t="shared" si="12"/>
        <v>750.8648654870741</v>
      </c>
      <c r="L107" s="626">
        <v>605</v>
      </c>
      <c r="M107" s="723"/>
      <c r="O107" s="704"/>
      <c r="P107" s="704"/>
      <c r="Q107" s="704"/>
      <c r="S107" s="704">
        <f t="shared" si="14"/>
        <v>242000</v>
      </c>
      <c r="T107" s="704">
        <f t="shared" si="15"/>
        <v>300345.94619482965</v>
      </c>
    </row>
    <row r="108" spans="1:20" ht="16.5" customHeight="1">
      <c r="A108" s="708">
        <f t="shared" si="16"/>
        <v>103</v>
      </c>
      <c r="B108" s="291" t="s">
        <v>1269</v>
      </c>
      <c r="C108" s="726">
        <v>42395</v>
      </c>
      <c r="D108" s="727" t="s">
        <v>432</v>
      </c>
      <c r="E108" s="803">
        <v>75</v>
      </c>
      <c r="F108" s="802">
        <v>60</v>
      </c>
      <c r="G108" s="802"/>
      <c r="H108" s="798">
        <f t="shared" si="13"/>
        <v>0.45</v>
      </c>
      <c r="I108" s="257">
        <v>110</v>
      </c>
      <c r="J108" s="709">
        <f t="shared" si="10"/>
        <v>49.5</v>
      </c>
      <c r="K108" s="709">
        <f t="shared" si="12"/>
        <v>3754.3243274353704</v>
      </c>
      <c r="L108" s="626">
        <v>3150</v>
      </c>
      <c r="M108" s="723"/>
      <c r="O108" s="704"/>
      <c r="P108" s="704"/>
      <c r="Q108" s="704"/>
      <c r="S108" s="704">
        <f t="shared" si="14"/>
        <v>346500</v>
      </c>
      <c r="T108" s="704">
        <f t="shared" si="15"/>
        <v>412975.67601789074</v>
      </c>
    </row>
    <row r="109" spans="1:20" ht="16.5" customHeight="1">
      <c r="A109" s="708">
        <f t="shared" si="16"/>
        <v>104</v>
      </c>
      <c r="B109" s="291" t="s">
        <v>1270</v>
      </c>
      <c r="C109" s="726">
        <v>42395</v>
      </c>
      <c r="D109" s="727" t="s">
        <v>432</v>
      </c>
      <c r="E109" s="803">
        <v>60</v>
      </c>
      <c r="F109" s="802">
        <v>28</v>
      </c>
      <c r="G109" s="802"/>
      <c r="H109" s="798">
        <f t="shared" si="13"/>
        <v>0.17</v>
      </c>
      <c r="I109" s="257">
        <v>55</v>
      </c>
      <c r="J109" s="709">
        <f t="shared" si="10"/>
        <v>9.3500000000000014</v>
      </c>
      <c r="K109" s="709">
        <f t="shared" si="12"/>
        <v>1418.3003014755845</v>
      </c>
      <c r="L109" s="626">
        <v>1176</v>
      </c>
      <c r="M109" s="723"/>
      <c r="O109" s="704"/>
      <c r="P109" s="704"/>
      <c r="Q109" s="704"/>
      <c r="S109" s="704">
        <f t="shared" si="14"/>
        <v>64680</v>
      </c>
      <c r="T109" s="704">
        <f t="shared" si="15"/>
        <v>78006.51658115715</v>
      </c>
    </row>
    <row r="110" spans="1:20" ht="16.5" customHeight="1">
      <c r="A110" s="708">
        <f t="shared" si="16"/>
        <v>105</v>
      </c>
      <c r="B110" s="291" t="s">
        <v>1271</v>
      </c>
      <c r="C110" s="726">
        <v>42395</v>
      </c>
      <c r="D110" s="727" t="s">
        <v>432</v>
      </c>
      <c r="E110" s="803">
        <v>37</v>
      </c>
      <c r="F110" s="802">
        <v>29</v>
      </c>
      <c r="G110" s="802"/>
      <c r="H110" s="798">
        <f t="shared" si="13"/>
        <v>0.11</v>
      </c>
      <c r="I110" s="257">
        <v>440</v>
      </c>
      <c r="J110" s="709">
        <f t="shared" si="10"/>
        <v>48.4</v>
      </c>
      <c r="K110" s="709">
        <f t="shared" si="12"/>
        <v>917.72372448420163</v>
      </c>
      <c r="L110" s="626">
        <v>751</v>
      </c>
      <c r="M110" s="723"/>
      <c r="O110" s="704"/>
      <c r="P110" s="704"/>
      <c r="Q110" s="704"/>
      <c r="S110" s="704">
        <f t="shared" si="14"/>
        <v>330440</v>
      </c>
      <c r="T110" s="704">
        <f t="shared" si="15"/>
        <v>403798.43877304869</v>
      </c>
    </row>
    <row r="111" spans="1:20" ht="16.5" customHeight="1">
      <c r="A111" s="708">
        <f t="shared" si="16"/>
        <v>106</v>
      </c>
      <c r="B111" s="291" t="s">
        <v>738</v>
      </c>
      <c r="C111" s="726">
        <v>42395</v>
      </c>
      <c r="D111" s="727" t="s">
        <v>433</v>
      </c>
      <c r="E111" s="803">
        <v>80</v>
      </c>
      <c r="F111" s="802">
        <v>182</v>
      </c>
      <c r="G111" s="802"/>
      <c r="H111" s="798">
        <f t="shared" si="13"/>
        <v>1.46</v>
      </c>
      <c r="I111" s="257">
        <v>50</v>
      </c>
      <c r="J111" s="709">
        <f t="shared" si="10"/>
        <v>73</v>
      </c>
      <c r="K111" s="709">
        <f t="shared" si="12"/>
        <v>12180.696706790313</v>
      </c>
      <c r="L111" s="626">
        <v>13250</v>
      </c>
      <c r="M111" s="723"/>
      <c r="O111" s="704"/>
      <c r="P111" s="704"/>
      <c r="Q111" s="704"/>
      <c r="S111" s="704">
        <f t="shared" si="14"/>
        <v>662500</v>
      </c>
      <c r="T111" s="704">
        <f t="shared" si="15"/>
        <v>609034.8353395157</v>
      </c>
    </row>
    <row r="112" spans="1:20" ht="16.5" customHeight="1">
      <c r="A112" s="708">
        <f t="shared" si="16"/>
        <v>107</v>
      </c>
      <c r="B112" s="291" t="s">
        <v>1256</v>
      </c>
      <c r="C112" s="726">
        <v>42395</v>
      </c>
      <c r="D112" s="727" t="s">
        <v>433</v>
      </c>
      <c r="E112" s="803">
        <v>110</v>
      </c>
      <c r="F112" s="802">
        <v>71</v>
      </c>
      <c r="G112" s="802"/>
      <c r="H112" s="798">
        <f t="shared" si="13"/>
        <v>0.78</v>
      </c>
      <c r="I112" s="257">
        <v>100</v>
      </c>
      <c r="J112" s="709">
        <f t="shared" si="10"/>
        <v>78</v>
      </c>
      <c r="K112" s="709">
        <f t="shared" si="12"/>
        <v>6507.4955008879751</v>
      </c>
      <c r="L112" s="626">
        <v>4764</v>
      </c>
      <c r="M112" s="723"/>
      <c r="O112" s="704"/>
      <c r="P112" s="704"/>
      <c r="Q112" s="704"/>
      <c r="S112" s="704">
        <f t="shared" si="14"/>
        <v>476400</v>
      </c>
      <c r="T112" s="704">
        <f t="shared" si="15"/>
        <v>650749.55008879746</v>
      </c>
    </row>
    <row r="113" spans="1:20" ht="16.5" customHeight="1">
      <c r="A113" s="708">
        <f t="shared" si="16"/>
        <v>108</v>
      </c>
      <c r="B113" s="291" t="s">
        <v>1257</v>
      </c>
      <c r="C113" s="726">
        <v>42395</v>
      </c>
      <c r="D113" s="727" t="s">
        <v>433</v>
      </c>
      <c r="E113" s="803">
        <v>35</v>
      </c>
      <c r="F113" s="802">
        <v>46</v>
      </c>
      <c r="G113" s="802"/>
      <c r="H113" s="798">
        <f t="shared" si="13"/>
        <v>0.16</v>
      </c>
      <c r="I113" s="257">
        <v>1000</v>
      </c>
      <c r="J113" s="709">
        <f t="shared" si="10"/>
        <v>160</v>
      </c>
      <c r="K113" s="709">
        <f t="shared" si="12"/>
        <v>1334.8708719770207</v>
      </c>
      <c r="L113" s="626">
        <v>1288</v>
      </c>
      <c r="M113" s="723"/>
      <c r="O113" s="704"/>
      <c r="P113" s="704"/>
      <c r="Q113" s="704"/>
      <c r="S113" s="704">
        <f t="shared" si="14"/>
        <v>1288000</v>
      </c>
      <c r="T113" s="704">
        <f t="shared" si="15"/>
        <v>1334870.8719770208</v>
      </c>
    </row>
    <row r="114" spans="1:20" ht="16.5" customHeight="1">
      <c r="A114" s="708">
        <f t="shared" si="16"/>
        <v>109</v>
      </c>
      <c r="B114" s="291" t="s">
        <v>730</v>
      </c>
      <c r="C114" s="726">
        <v>42395</v>
      </c>
      <c r="D114" s="727" t="s">
        <v>433</v>
      </c>
      <c r="E114" s="803">
        <v>100</v>
      </c>
      <c r="F114" s="802">
        <v>86</v>
      </c>
      <c r="G114" s="802"/>
      <c r="H114" s="798">
        <f t="shared" si="13"/>
        <v>0.86</v>
      </c>
      <c r="I114" s="257">
        <v>190</v>
      </c>
      <c r="J114" s="709">
        <f t="shared" si="10"/>
        <v>163.4</v>
      </c>
      <c r="K114" s="709">
        <f t="shared" si="12"/>
        <v>7174.9309368764852</v>
      </c>
      <c r="L114" s="626">
        <v>7826</v>
      </c>
      <c r="M114" s="723"/>
      <c r="O114" s="704"/>
      <c r="P114" s="704"/>
      <c r="Q114" s="704"/>
      <c r="S114" s="704">
        <f t="shared" si="14"/>
        <v>1486940</v>
      </c>
      <c r="T114" s="704">
        <f t="shared" si="15"/>
        <v>1363236.8780065321</v>
      </c>
    </row>
    <row r="115" spans="1:20" ht="16.5" customHeight="1">
      <c r="A115" s="708">
        <f t="shared" si="16"/>
        <v>110</v>
      </c>
      <c r="B115" s="291" t="s">
        <v>731</v>
      </c>
      <c r="C115" s="726">
        <v>42395</v>
      </c>
      <c r="D115" s="727" t="s">
        <v>433</v>
      </c>
      <c r="E115" s="803">
        <v>95</v>
      </c>
      <c r="F115" s="802">
        <v>83</v>
      </c>
      <c r="G115" s="802"/>
      <c r="H115" s="798">
        <f t="shared" si="13"/>
        <v>0.79</v>
      </c>
      <c r="I115" s="257">
        <v>195</v>
      </c>
      <c r="J115" s="709">
        <f t="shared" si="10"/>
        <v>154.05000000000001</v>
      </c>
      <c r="K115" s="709">
        <f t="shared" si="12"/>
        <v>6590.924930386539</v>
      </c>
      <c r="L115" s="626">
        <v>7175</v>
      </c>
      <c r="M115" s="723"/>
      <c r="O115" s="704"/>
      <c r="P115" s="704"/>
      <c r="Q115" s="704"/>
      <c r="S115" s="704">
        <f t="shared" si="14"/>
        <v>1399125</v>
      </c>
      <c r="T115" s="704">
        <f t="shared" si="15"/>
        <v>1285230.3614253751</v>
      </c>
    </row>
    <row r="116" spans="1:20" ht="16.5" customHeight="1">
      <c r="A116" s="708">
        <f t="shared" si="16"/>
        <v>111</v>
      </c>
      <c r="B116" s="291" t="s">
        <v>732</v>
      </c>
      <c r="C116" s="726">
        <v>42395</v>
      </c>
      <c r="D116" s="727" t="s">
        <v>433</v>
      </c>
      <c r="E116" s="803">
        <v>100</v>
      </c>
      <c r="F116" s="802">
        <v>116</v>
      </c>
      <c r="G116" s="802"/>
      <c r="H116" s="798">
        <f t="shared" si="13"/>
        <v>1.1599999999999999</v>
      </c>
      <c r="I116" s="257">
        <v>125</v>
      </c>
      <c r="J116" s="709">
        <f t="shared" si="10"/>
        <v>145</v>
      </c>
      <c r="K116" s="709">
        <f t="shared" si="12"/>
        <v>9677.8138218333988</v>
      </c>
      <c r="L116" s="626">
        <v>10556</v>
      </c>
      <c r="M116" s="723"/>
      <c r="O116" s="704"/>
      <c r="P116" s="704"/>
      <c r="Q116" s="704"/>
      <c r="S116" s="704">
        <f t="shared" si="14"/>
        <v>1319500</v>
      </c>
      <c r="T116" s="704">
        <f t="shared" si="15"/>
        <v>1209726.7277291748</v>
      </c>
    </row>
    <row r="117" spans="1:20" ht="16.5" customHeight="1">
      <c r="A117" s="708">
        <f t="shared" si="16"/>
        <v>112</v>
      </c>
      <c r="B117" s="291" t="s">
        <v>733</v>
      </c>
      <c r="C117" s="726">
        <v>42395</v>
      </c>
      <c r="D117" s="727" t="s">
        <v>433</v>
      </c>
      <c r="E117" s="803">
        <v>95</v>
      </c>
      <c r="F117" s="802">
        <v>113</v>
      </c>
      <c r="G117" s="802"/>
      <c r="H117" s="798">
        <f t="shared" si="13"/>
        <v>1.07</v>
      </c>
      <c r="I117" s="257">
        <v>125</v>
      </c>
      <c r="J117" s="709">
        <f t="shared" si="10"/>
        <v>133.75</v>
      </c>
      <c r="K117" s="709">
        <f t="shared" si="12"/>
        <v>8926.9489563463248</v>
      </c>
      <c r="L117" s="626">
        <v>9769</v>
      </c>
      <c r="M117" s="723"/>
      <c r="O117" s="704"/>
      <c r="P117" s="704"/>
      <c r="Q117" s="704"/>
      <c r="S117" s="704">
        <f t="shared" si="14"/>
        <v>1221125</v>
      </c>
      <c r="T117" s="704">
        <f t="shared" si="15"/>
        <v>1115868.6195432907</v>
      </c>
    </row>
    <row r="118" spans="1:20" ht="16.5" customHeight="1">
      <c r="A118" s="708">
        <f t="shared" si="16"/>
        <v>113</v>
      </c>
      <c r="B118" s="291" t="s">
        <v>1258</v>
      </c>
      <c r="C118" s="726">
        <v>42395</v>
      </c>
      <c r="D118" s="727" t="s">
        <v>433</v>
      </c>
      <c r="E118" s="803">
        <v>130</v>
      </c>
      <c r="F118" s="802">
        <v>137</v>
      </c>
      <c r="G118" s="802"/>
      <c r="H118" s="798">
        <f t="shared" si="13"/>
        <v>1.78</v>
      </c>
      <c r="I118" s="257">
        <v>390</v>
      </c>
      <c r="J118" s="709">
        <f t="shared" si="10"/>
        <v>694.2</v>
      </c>
      <c r="K118" s="709">
        <f t="shared" si="12"/>
        <v>14850.438450744354</v>
      </c>
      <c r="L118" s="626">
        <v>16207</v>
      </c>
      <c r="M118" s="723"/>
      <c r="O118" s="704"/>
      <c r="P118" s="704"/>
      <c r="Q118" s="704"/>
      <c r="S118" s="704">
        <f t="shared" si="14"/>
        <v>6320730</v>
      </c>
      <c r="T118" s="704">
        <f t="shared" si="15"/>
        <v>5791670.9957902981</v>
      </c>
    </row>
    <row r="119" spans="1:20" ht="16.5" customHeight="1">
      <c r="A119" s="708">
        <f t="shared" si="16"/>
        <v>114</v>
      </c>
      <c r="B119" s="291" t="s">
        <v>1259</v>
      </c>
      <c r="C119" s="726">
        <v>42395</v>
      </c>
      <c r="D119" s="727" t="s">
        <v>433</v>
      </c>
      <c r="E119" s="803">
        <v>90</v>
      </c>
      <c r="F119" s="802">
        <v>117</v>
      </c>
      <c r="G119" s="802"/>
      <c r="H119" s="798">
        <f t="shared" si="13"/>
        <v>1.05</v>
      </c>
      <c r="I119" s="257">
        <v>420</v>
      </c>
      <c r="J119" s="709">
        <f t="shared" ref="J119:J182" si="17">H119*I119</f>
        <v>441</v>
      </c>
      <c r="K119" s="709">
        <f t="shared" si="12"/>
        <v>8760.0900973491971</v>
      </c>
      <c r="L119" s="626">
        <v>8845</v>
      </c>
      <c r="M119" s="723"/>
      <c r="O119" s="704"/>
      <c r="P119" s="704"/>
      <c r="Q119" s="704"/>
      <c r="S119" s="704">
        <f t="shared" si="14"/>
        <v>3714900</v>
      </c>
      <c r="T119" s="704">
        <f t="shared" si="15"/>
        <v>3679237.8408866627</v>
      </c>
    </row>
    <row r="120" spans="1:20" ht="16.5" customHeight="1">
      <c r="A120" s="708">
        <f t="shared" si="16"/>
        <v>115</v>
      </c>
      <c r="B120" s="291" t="s">
        <v>740</v>
      </c>
      <c r="C120" s="726">
        <v>42397</v>
      </c>
      <c r="D120" s="727" t="s">
        <v>435</v>
      </c>
      <c r="E120" s="803">
        <v>85</v>
      </c>
      <c r="F120" s="802">
        <v>220</v>
      </c>
      <c r="G120" s="802"/>
      <c r="H120" s="798">
        <f t="shared" si="13"/>
        <v>1.87</v>
      </c>
      <c r="I120" s="257">
        <v>500</v>
      </c>
      <c r="J120" s="709">
        <f t="shared" si="17"/>
        <v>935</v>
      </c>
      <c r="K120" s="709">
        <f t="shared" si="12"/>
        <v>15601.30331623143</v>
      </c>
      <c r="L120" s="626">
        <v>11968</v>
      </c>
      <c r="M120" s="723"/>
      <c r="O120" s="704"/>
      <c r="P120" s="704"/>
      <c r="Q120" s="704"/>
      <c r="S120" s="704">
        <f t="shared" si="14"/>
        <v>5984000</v>
      </c>
      <c r="T120" s="704">
        <f t="shared" si="15"/>
        <v>7800651.6581157148</v>
      </c>
    </row>
    <row r="121" spans="1:20" ht="16.5" customHeight="1">
      <c r="A121" s="708">
        <f t="shared" si="16"/>
        <v>116</v>
      </c>
      <c r="B121" s="291" t="s">
        <v>563</v>
      </c>
      <c r="C121" s="726">
        <v>42397</v>
      </c>
      <c r="D121" s="727" t="s">
        <v>435</v>
      </c>
      <c r="E121" s="803">
        <v>73</v>
      </c>
      <c r="F121" s="802">
        <v>73</v>
      </c>
      <c r="G121" s="802"/>
      <c r="H121" s="798">
        <f t="shared" si="13"/>
        <v>0.53</v>
      </c>
      <c r="I121" s="257">
        <v>2000</v>
      </c>
      <c r="J121" s="709">
        <f t="shared" si="17"/>
        <v>1060</v>
      </c>
      <c r="K121" s="709">
        <f t="shared" si="12"/>
        <v>4421.7597634238809</v>
      </c>
      <c r="L121" s="626">
        <v>4050</v>
      </c>
      <c r="M121" s="723"/>
      <c r="O121" s="704"/>
      <c r="P121" s="704"/>
      <c r="Q121" s="704"/>
      <c r="S121" s="704">
        <f t="shared" si="14"/>
        <v>8100000</v>
      </c>
      <c r="T121" s="704">
        <f t="shared" si="15"/>
        <v>8843519.5268477611</v>
      </c>
    </row>
    <row r="122" spans="1:20" ht="16.5" customHeight="1">
      <c r="A122" s="708">
        <f t="shared" si="16"/>
        <v>117</v>
      </c>
      <c r="B122" s="291" t="s">
        <v>561</v>
      </c>
      <c r="C122" s="726">
        <v>42397</v>
      </c>
      <c r="D122" s="727" t="s">
        <v>435</v>
      </c>
      <c r="E122" s="803">
        <v>85</v>
      </c>
      <c r="F122" s="802">
        <v>125</v>
      </c>
      <c r="G122" s="802"/>
      <c r="H122" s="798">
        <f t="shared" si="13"/>
        <v>1.06</v>
      </c>
      <c r="I122" s="257">
        <v>300</v>
      </c>
      <c r="J122" s="709">
        <f t="shared" si="17"/>
        <v>318</v>
      </c>
      <c r="K122" s="709">
        <f t="shared" si="12"/>
        <v>8843.5195268477619</v>
      </c>
      <c r="L122" s="626">
        <v>9350</v>
      </c>
      <c r="M122" s="723"/>
      <c r="O122" s="704"/>
      <c r="P122" s="704"/>
      <c r="Q122" s="704"/>
      <c r="S122" s="704">
        <f t="shared" si="14"/>
        <v>2805000</v>
      </c>
      <c r="T122" s="704">
        <f t="shared" si="15"/>
        <v>2653055.8580543287</v>
      </c>
    </row>
    <row r="123" spans="1:20" ht="16.5" customHeight="1">
      <c r="A123" s="708">
        <f t="shared" si="16"/>
        <v>118</v>
      </c>
      <c r="B123" s="291" t="s">
        <v>478</v>
      </c>
      <c r="C123" s="726">
        <v>42397</v>
      </c>
      <c r="D123" s="727" t="s">
        <v>436</v>
      </c>
      <c r="E123" s="803">
        <v>45</v>
      </c>
      <c r="F123" s="802">
        <v>35</v>
      </c>
      <c r="G123" s="802">
        <v>25</v>
      </c>
      <c r="H123" s="798">
        <f t="shared" si="13"/>
        <v>1.04</v>
      </c>
      <c r="I123" s="257">
        <v>1004</v>
      </c>
      <c r="J123" s="709">
        <f t="shared" si="17"/>
        <v>1044.1600000000001</v>
      </c>
      <c r="K123" s="709">
        <f t="shared" si="12"/>
        <v>8676.6606678506341</v>
      </c>
      <c r="L123" s="626">
        <v>8500</v>
      </c>
      <c r="M123" s="723"/>
      <c r="O123" s="704"/>
      <c r="P123" s="704"/>
      <c r="Q123" s="704"/>
      <c r="S123" s="704">
        <f t="shared" si="14"/>
        <v>8534000</v>
      </c>
      <c r="T123" s="704">
        <f t="shared" si="15"/>
        <v>8711367.3105220366</v>
      </c>
    </row>
    <row r="124" spans="1:20" ht="16.5" customHeight="1">
      <c r="A124" s="708">
        <f t="shared" si="16"/>
        <v>119</v>
      </c>
      <c r="B124" s="291" t="s">
        <v>1272</v>
      </c>
      <c r="C124" s="726">
        <v>42397</v>
      </c>
      <c r="D124" s="727" t="s">
        <v>436</v>
      </c>
      <c r="E124" s="803">
        <v>42</v>
      </c>
      <c r="F124" s="802">
        <v>32</v>
      </c>
      <c r="G124" s="802"/>
      <c r="H124" s="798">
        <f t="shared" si="13"/>
        <v>0.13</v>
      </c>
      <c r="I124" s="257">
        <v>1004</v>
      </c>
      <c r="J124" s="709">
        <f t="shared" si="17"/>
        <v>130.52000000000001</v>
      </c>
      <c r="K124" s="709">
        <f t="shared" si="12"/>
        <v>1084.5825834813293</v>
      </c>
      <c r="L124" s="626">
        <v>1020</v>
      </c>
      <c r="M124" s="723"/>
      <c r="O124" s="704"/>
      <c r="P124" s="704"/>
      <c r="Q124" s="704"/>
      <c r="S124" s="704">
        <f t="shared" si="14"/>
        <v>1024080</v>
      </c>
      <c r="T124" s="704">
        <f t="shared" si="15"/>
        <v>1088920.9138152546</v>
      </c>
    </row>
    <row r="125" spans="1:20" ht="16.5" customHeight="1">
      <c r="A125" s="708">
        <f t="shared" ref="A125:A156" si="18">IF(B123&lt;&gt;"",A124+1,"")</f>
        <v>120</v>
      </c>
      <c r="B125" s="291" t="s">
        <v>941</v>
      </c>
      <c r="C125" s="726">
        <v>42397</v>
      </c>
      <c r="D125" s="727" t="s">
        <v>436</v>
      </c>
      <c r="E125" s="803">
        <v>35</v>
      </c>
      <c r="F125" s="802">
        <v>30</v>
      </c>
      <c r="G125" s="802">
        <v>25</v>
      </c>
      <c r="H125" s="798">
        <f t="shared" si="13"/>
        <v>0.78</v>
      </c>
      <c r="I125" s="257">
        <v>502</v>
      </c>
      <c r="J125" s="709">
        <f t="shared" si="17"/>
        <v>391.56</v>
      </c>
      <c r="K125" s="709">
        <f t="shared" si="12"/>
        <v>6507.4955008879751</v>
      </c>
      <c r="L125" s="626">
        <v>9700</v>
      </c>
      <c r="M125" s="723"/>
      <c r="O125" s="704"/>
      <c r="P125" s="704"/>
      <c r="Q125" s="704"/>
      <c r="S125" s="704">
        <f t="shared" si="14"/>
        <v>4869400</v>
      </c>
      <c r="T125" s="704">
        <f t="shared" si="15"/>
        <v>3266762.7414457635</v>
      </c>
    </row>
    <row r="126" spans="1:20" ht="16.5" customHeight="1">
      <c r="A126" s="708">
        <f t="shared" si="18"/>
        <v>121</v>
      </c>
      <c r="B126" s="291" t="s">
        <v>1268</v>
      </c>
      <c r="C126" s="726">
        <v>42397</v>
      </c>
      <c r="D126" s="727" t="s">
        <v>436</v>
      </c>
      <c r="E126" s="803">
        <v>32</v>
      </c>
      <c r="F126" s="802">
        <v>27</v>
      </c>
      <c r="G126" s="802"/>
      <c r="H126" s="798">
        <f t="shared" si="13"/>
        <v>0.09</v>
      </c>
      <c r="I126" s="257">
        <v>502</v>
      </c>
      <c r="J126" s="709">
        <f t="shared" si="17"/>
        <v>45.18</v>
      </c>
      <c r="K126" s="709">
        <f t="shared" si="12"/>
        <v>750.8648654870741</v>
      </c>
      <c r="L126" s="626">
        <v>900</v>
      </c>
      <c r="M126" s="723"/>
      <c r="O126" s="704"/>
      <c r="P126" s="704"/>
      <c r="Q126" s="704"/>
      <c r="S126" s="704">
        <f t="shared" si="14"/>
        <v>451800</v>
      </c>
      <c r="T126" s="704">
        <f t="shared" si="15"/>
        <v>376934.16247451119</v>
      </c>
    </row>
    <row r="127" spans="1:20" ht="16.5" customHeight="1">
      <c r="A127" s="708">
        <f t="shared" si="18"/>
        <v>122</v>
      </c>
      <c r="B127" s="291" t="s">
        <v>668</v>
      </c>
      <c r="C127" s="726">
        <v>42397</v>
      </c>
      <c r="D127" s="727" t="s">
        <v>439</v>
      </c>
      <c r="E127" s="803">
        <v>52</v>
      </c>
      <c r="F127" s="802">
        <v>24</v>
      </c>
      <c r="G127" s="802">
        <v>24</v>
      </c>
      <c r="H127" s="798">
        <f t="shared" si="13"/>
        <v>0.8</v>
      </c>
      <c r="I127" s="257">
        <v>210</v>
      </c>
      <c r="J127" s="709">
        <f t="shared" si="17"/>
        <v>168</v>
      </c>
      <c r="K127" s="709">
        <f t="shared" si="12"/>
        <v>6674.3543598851029</v>
      </c>
      <c r="L127" s="626">
        <v>6000</v>
      </c>
      <c r="M127" s="723"/>
      <c r="O127" s="704"/>
      <c r="P127" s="704"/>
      <c r="Q127" s="704"/>
      <c r="S127" s="704">
        <f t="shared" si="14"/>
        <v>1260000</v>
      </c>
      <c r="T127" s="704">
        <f t="shared" si="15"/>
        <v>1401614.4155758717</v>
      </c>
    </row>
    <row r="128" spans="1:20" ht="16.5" customHeight="1">
      <c r="A128" s="708">
        <f t="shared" si="18"/>
        <v>123</v>
      </c>
      <c r="B128" s="291" t="s">
        <v>669</v>
      </c>
      <c r="C128" s="726">
        <v>42397</v>
      </c>
      <c r="D128" s="727" t="s">
        <v>439</v>
      </c>
      <c r="E128" s="803">
        <v>52</v>
      </c>
      <c r="F128" s="802">
        <v>27</v>
      </c>
      <c r="G128" s="802">
        <v>27</v>
      </c>
      <c r="H128" s="798">
        <f t="shared" si="13"/>
        <v>0.93</v>
      </c>
      <c r="I128" s="257">
        <v>309</v>
      </c>
      <c r="J128" s="709">
        <f t="shared" si="17"/>
        <v>287.37</v>
      </c>
      <c r="K128" s="709">
        <f t="shared" si="12"/>
        <v>7758.9369433664324</v>
      </c>
      <c r="L128" s="626">
        <v>6600</v>
      </c>
      <c r="M128" s="723"/>
      <c r="O128" s="704"/>
      <c r="P128" s="704"/>
      <c r="Q128" s="704"/>
      <c r="S128" s="704">
        <f t="shared" si="14"/>
        <v>2039400</v>
      </c>
      <c r="T128" s="704">
        <f t="shared" si="15"/>
        <v>2397511.5155002275</v>
      </c>
    </row>
    <row r="129" spans="1:20" ht="16.5" customHeight="1">
      <c r="A129" s="708">
        <f t="shared" si="18"/>
        <v>124</v>
      </c>
      <c r="B129" s="291" t="s">
        <v>942</v>
      </c>
      <c r="C129" s="726">
        <v>42397</v>
      </c>
      <c r="D129" s="727" t="s">
        <v>442</v>
      </c>
      <c r="E129" s="803">
        <v>70</v>
      </c>
      <c r="F129" s="802">
        <v>45</v>
      </c>
      <c r="G129" s="802">
        <v>50</v>
      </c>
      <c r="H129" s="798">
        <f t="shared" si="13"/>
        <v>2.2999999999999998</v>
      </c>
      <c r="I129" s="257">
        <v>206</v>
      </c>
      <c r="J129" s="709">
        <f t="shared" si="17"/>
        <v>473.79999999999995</v>
      </c>
      <c r="K129" s="709">
        <f t="shared" si="12"/>
        <v>19188.768784669668</v>
      </c>
      <c r="L129" s="626">
        <v>23200</v>
      </c>
      <c r="M129" s="723"/>
      <c r="O129" s="704"/>
      <c r="P129" s="704"/>
      <c r="Q129" s="704"/>
      <c r="S129" s="704">
        <f t="shared" si="14"/>
        <v>4779200</v>
      </c>
      <c r="T129" s="704">
        <f t="shared" si="15"/>
        <v>3952886.3696419518</v>
      </c>
    </row>
    <row r="130" spans="1:20" ht="16.5" customHeight="1">
      <c r="A130" s="708">
        <f t="shared" si="18"/>
        <v>125</v>
      </c>
      <c r="B130" s="291" t="s">
        <v>1273</v>
      </c>
      <c r="C130" s="726">
        <v>42397</v>
      </c>
      <c r="D130" s="727" t="s">
        <v>442</v>
      </c>
      <c r="E130" s="803">
        <v>55</v>
      </c>
      <c r="F130" s="802">
        <v>40</v>
      </c>
      <c r="G130" s="802"/>
      <c r="H130" s="798">
        <f t="shared" si="13"/>
        <v>0.22</v>
      </c>
      <c r="I130" s="257">
        <v>500</v>
      </c>
      <c r="J130" s="709">
        <f t="shared" si="17"/>
        <v>110</v>
      </c>
      <c r="K130" s="709">
        <f t="shared" si="12"/>
        <v>1835.4474489684033</v>
      </c>
      <c r="L130" s="626">
        <v>2200</v>
      </c>
      <c r="M130" s="723"/>
      <c r="O130" s="704"/>
      <c r="P130" s="704"/>
      <c r="Q130" s="704"/>
      <c r="S130" s="704">
        <f t="shared" si="14"/>
        <v>1100000</v>
      </c>
      <c r="T130" s="704">
        <f t="shared" si="15"/>
        <v>917723.72448420164</v>
      </c>
    </row>
    <row r="131" spans="1:20" ht="16.5" customHeight="1">
      <c r="A131" s="708">
        <f t="shared" si="18"/>
        <v>126</v>
      </c>
      <c r="B131" s="291" t="s">
        <v>1274</v>
      </c>
      <c r="C131" s="726">
        <v>42397</v>
      </c>
      <c r="D131" s="727" t="s">
        <v>442</v>
      </c>
      <c r="E131" s="803">
        <v>70</v>
      </c>
      <c r="F131" s="802">
        <v>45</v>
      </c>
      <c r="G131" s="802"/>
      <c r="H131" s="798">
        <f t="shared" si="13"/>
        <v>0.32</v>
      </c>
      <c r="I131" s="257">
        <v>1500</v>
      </c>
      <c r="J131" s="709">
        <f t="shared" si="17"/>
        <v>480</v>
      </c>
      <c r="K131" s="709">
        <f t="shared" si="12"/>
        <v>2669.7417439540413</v>
      </c>
      <c r="L131" s="626">
        <v>3300</v>
      </c>
      <c r="M131" s="723"/>
      <c r="O131" s="704"/>
      <c r="P131" s="704"/>
      <c r="Q131" s="704"/>
      <c r="S131" s="704">
        <f t="shared" si="14"/>
        <v>4950000</v>
      </c>
      <c r="T131" s="704">
        <f t="shared" si="15"/>
        <v>4004612.615931062</v>
      </c>
    </row>
    <row r="132" spans="1:20" ht="16.5" customHeight="1">
      <c r="A132" s="708">
        <f t="shared" si="18"/>
        <v>127</v>
      </c>
      <c r="B132" s="291" t="s">
        <v>1268</v>
      </c>
      <c r="C132" s="726">
        <v>42397</v>
      </c>
      <c r="D132" s="727" t="s">
        <v>443</v>
      </c>
      <c r="E132" s="803">
        <v>32</v>
      </c>
      <c r="F132" s="802">
        <v>27</v>
      </c>
      <c r="G132" s="802"/>
      <c r="H132" s="798">
        <f t="shared" si="13"/>
        <v>0.09</v>
      </c>
      <c r="I132" s="257">
        <v>502</v>
      </c>
      <c r="J132" s="709">
        <f t="shared" si="17"/>
        <v>45.18</v>
      </c>
      <c r="K132" s="709">
        <f t="shared" si="12"/>
        <v>750.8648654870741</v>
      </c>
      <c r="L132" s="626">
        <v>900</v>
      </c>
      <c r="M132" s="723"/>
      <c r="O132" s="704"/>
      <c r="P132" s="704"/>
      <c r="Q132" s="704"/>
      <c r="S132" s="704">
        <f t="shared" si="14"/>
        <v>451800</v>
      </c>
      <c r="T132" s="704">
        <f t="shared" si="15"/>
        <v>376934.16247451119</v>
      </c>
    </row>
    <row r="133" spans="1:20" ht="16.5" customHeight="1">
      <c r="A133" s="708">
        <f t="shared" si="18"/>
        <v>128</v>
      </c>
      <c r="B133" s="291" t="s">
        <v>1339</v>
      </c>
      <c r="C133" s="726">
        <v>42397</v>
      </c>
      <c r="D133" s="727" t="s">
        <v>446</v>
      </c>
      <c r="E133" s="803">
        <v>40</v>
      </c>
      <c r="F133" s="802">
        <v>39</v>
      </c>
      <c r="G133" s="802">
        <v>32</v>
      </c>
      <c r="H133" s="798">
        <f t="shared" si="13"/>
        <v>1.21</v>
      </c>
      <c r="I133" s="257">
        <v>50</v>
      </c>
      <c r="J133" s="709">
        <f t="shared" si="17"/>
        <v>60.5</v>
      </c>
      <c r="K133" s="709">
        <f t="shared" si="12"/>
        <v>10094.960969326217</v>
      </c>
      <c r="L133" s="626">
        <v>16500</v>
      </c>
      <c r="M133" s="723"/>
      <c r="O133" s="704"/>
      <c r="P133" s="704"/>
      <c r="Q133" s="704"/>
      <c r="S133" s="704">
        <f t="shared" si="14"/>
        <v>825000</v>
      </c>
      <c r="T133" s="704">
        <f t="shared" si="15"/>
        <v>504748.04846631084</v>
      </c>
    </row>
    <row r="134" spans="1:20" ht="16.5" customHeight="1">
      <c r="A134" s="708">
        <f t="shared" si="18"/>
        <v>129</v>
      </c>
      <c r="B134" s="291" t="s">
        <v>943</v>
      </c>
      <c r="C134" s="726">
        <v>42397</v>
      </c>
      <c r="D134" s="727" t="s">
        <v>719</v>
      </c>
      <c r="E134" s="803">
        <v>103</v>
      </c>
      <c r="F134" s="802">
        <v>54</v>
      </c>
      <c r="G134" s="802">
        <v>180</v>
      </c>
      <c r="H134" s="798">
        <f t="shared" si="13"/>
        <v>7.56</v>
      </c>
      <c r="I134" s="257">
        <v>59</v>
      </c>
      <c r="J134" s="709">
        <f t="shared" si="17"/>
        <v>446.03999999999996</v>
      </c>
      <c r="K134" s="709">
        <f t="shared" ref="K134:K197" si="19">H134*$R$43</f>
        <v>63072.648700914222</v>
      </c>
      <c r="L134" s="626">
        <v>73100</v>
      </c>
      <c r="M134" s="723"/>
      <c r="O134" s="704"/>
      <c r="P134" s="704"/>
      <c r="Q134" s="704"/>
      <c r="S134" s="704">
        <f t="shared" si="14"/>
        <v>4312900</v>
      </c>
      <c r="T134" s="704">
        <f t="shared" si="15"/>
        <v>3721286.2733539389</v>
      </c>
    </row>
    <row r="135" spans="1:20" ht="16.5" customHeight="1">
      <c r="A135" s="708">
        <f t="shared" si="18"/>
        <v>130</v>
      </c>
      <c r="B135" s="291" t="s">
        <v>693</v>
      </c>
      <c r="C135" s="726">
        <v>42397</v>
      </c>
      <c r="D135" s="727" t="s">
        <v>719</v>
      </c>
      <c r="E135" s="803">
        <v>161</v>
      </c>
      <c r="F135" s="802">
        <v>81</v>
      </c>
      <c r="G135" s="802">
        <v>5</v>
      </c>
      <c r="H135" s="798">
        <f t="shared" ref="H135:H198" si="20">IF(G135&lt;&gt;"",ROUND(((E135+F135)*2+5)*(F135+G135+3)/10000,2),ROUND(E135*F135/10000,2))</f>
        <v>4.3499999999999996</v>
      </c>
      <c r="I135" s="257">
        <v>100</v>
      </c>
      <c r="J135" s="709">
        <f t="shared" si="17"/>
        <v>434.99999999999994</v>
      </c>
      <c r="K135" s="709">
        <f t="shared" si="19"/>
        <v>36291.801831875244</v>
      </c>
      <c r="L135" s="626">
        <v>11534</v>
      </c>
      <c r="M135" s="723"/>
      <c r="O135" s="704"/>
      <c r="P135" s="704"/>
      <c r="Q135" s="704"/>
      <c r="S135" s="704">
        <f t="shared" ref="S135:S198" si="21">I135*L135</f>
        <v>1153400</v>
      </c>
      <c r="T135" s="704">
        <f t="shared" ref="T135:T198" si="22">I135*K135</f>
        <v>3629180.1831875243</v>
      </c>
    </row>
    <row r="136" spans="1:20" ht="16.5" customHeight="1">
      <c r="A136" s="708">
        <f t="shared" si="18"/>
        <v>131</v>
      </c>
      <c r="B136" s="291" t="s">
        <v>944</v>
      </c>
      <c r="C136" s="726">
        <v>42397</v>
      </c>
      <c r="D136" s="727" t="s">
        <v>719</v>
      </c>
      <c r="E136" s="803">
        <v>55</v>
      </c>
      <c r="F136" s="802">
        <v>52</v>
      </c>
      <c r="G136" s="802">
        <v>68</v>
      </c>
      <c r="H136" s="798">
        <f t="shared" si="20"/>
        <v>2.69</v>
      </c>
      <c r="I136" s="257">
        <v>37</v>
      </c>
      <c r="J136" s="709">
        <f t="shared" si="17"/>
        <v>99.53</v>
      </c>
      <c r="K136" s="709">
        <f t="shared" si="19"/>
        <v>22442.516535113657</v>
      </c>
      <c r="L136" s="626">
        <v>22367</v>
      </c>
      <c r="M136" s="723"/>
      <c r="O136" s="704"/>
      <c r="P136" s="704"/>
      <c r="Q136" s="704"/>
      <c r="S136" s="704">
        <f t="shared" si="21"/>
        <v>827579</v>
      </c>
      <c r="T136" s="704">
        <f t="shared" si="22"/>
        <v>830373.1117992053</v>
      </c>
    </row>
    <row r="137" spans="1:20" ht="16.5" customHeight="1">
      <c r="A137" s="708">
        <f t="shared" si="18"/>
        <v>132</v>
      </c>
      <c r="B137" s="291" t="s">
        <v>448</v>
      </c>
      <c r="C137" s="726">
        <v>42397</v>
      </c>
      <c r="D137" s="727" t="s">
        <v>719</v>
      </c>
      <c r="E137" s="803">
        <v>103</v>
      </c>
      <c r="F137" s="802">
        <v>50</v>
      </c>
      <c r="G137" s="802">
        <v>180</v>
      </c>
      <c r="H137" s="798">
        <f t="shared" si="20"/>
        <v>7.25</v>
      </c>
      <c r="I137" s="257">
        <v>131</v>
      </c>
      <c r="J137" s="709">
        <f t="shared" si="17"/>
        <v>949.75</v>
      </c>
      <c r="K137" s="709">
        <f t="shared" si="19"/>
        <v>60486.336386458745</v>
      </c>
      <c r="L137" s="626">
        <v>47449</v>
      </c>
      <c r="M137" s="723"/>
      <c r="O137" s="704"/>
      <c r="P137" s="704"/>
      <c r="Q137" s="704"/>
      <c r="S137" s="704">
        <f t="shared" si="21"/>
        <v>6215819</v>
      </c>
      <c r="T137" s="704">
        <f t="shared" si="22"/>
        <v>7923710.0666260952</v>
      </c>
    </row>
    <row r="138" spans="1:20" ht="16.5" customHeight="1">
      <c r="A138" s="708">
        <f t="shared" si="18"/>
        <v>133</v>
      </c>
      <c r="B138" s="291" t="s">
        <v>945</v>
      </c>
      <c r="C138" s="726">
        <v>42399</v>
      </c>
      <c r="D138" s="727" t="s">
        <v>449</v>
      </c>
      <c r="E138" s="803">
        <v>37</v>
      </c>
      <c r="F138" s="802">
        <v>29</v>
      </c>
      <c r="G138" s="802">
        <v>29</v>
      </c>
      <c r="H138" s="798">
        <f t="shared" si="20"/>
        <v>0.84</v>
      </c>
      <c r="I138" s="257">
        <v>51</v>
      </c>
      <c r="J138" s="709">
        <f t="shared" si="17"/>
        <v>42.839999999999996</v>
      </c>
      <c r="K138" s="709">
        <f t="shared" si="19"/>
        <v>7008.0720778793575</v>
      </c>
      <c r="L138" s="626">
        <v>6400</v>
      </c>
      <c r="M138" s="723"/>
      <c r="O138" s="704"/>
      <c r="P138" s="704"/>
      <c r="Q138" s="704"/>
      <c r="S138" s="704">
        <f t="shared" si="21"/>
        <v>326400</v>
      </c>
      <c r="T138" s="704">
        <f t="shared" si="22"/>
        <v>357411.67597184726</v>
      </c>
    </row>
    <row r="139" spans="1:20" ht="16.5" customHeight="1">
      <c r="A139" s="708">
        <f t="shared" si="18"/>
        <v>134</v>
      </c>
      <c r="B139" s="291" t="s">
        <v>510</v>
      </c>
      <c r="C139" s="726">
        <v>42399</v>
      </c>
      <c r="D139" s="727" t="s">
        <v>449</v>
      </c>
      <c r="E139" s="803">
        <v>47</v>
      </c>
      <c r="F139" s="802">
        <v>42</v>
      </c>
      <c r="G139" s="802">
        <v>24.5</v>
      </c>
      <c r="H139" s="798">
        <f t="shared" si="20"/>
        <v>1.27</v>
      </c>
      <c r="I139" s="257">
        <v>978</v>
      </c>
      <c r="J139" s="709">
        <f t="shared" si="17"/>
        <v>1242.06</v>
      </c>
      <c r="K139" s="709">
        <f t="shared" si="19"/>
        <v>10595.537546317601</v>
      </c>
      <c r="L139" s="626">
        <v>8950</v>
      </c>
      <c r="M139" s="723"/>
      <c r="O139" s="704"/>
      <c r="P139" s="704"/>
      <c r="Q139" s="704"/>
      <c r="S139" s="704">
        <f t="shared" si="21"/>
        <v>8753100</v>
      </c>
      <c r="T139" s="704">
        <f t="shared" si="22"/>
        <v>10362435.720298612</v>
      </c>
    </row>
    <row r="140" spans="1:20" ht="16.5" customHeight="1">
      <c r="A140" s="708">
        <f t="shared" si="18"/>
        <v>135</v>
      </c>
      <c r="B140" s="291" t="s">
        <v>438</v>
      </c>
      <c r="C140" s="726">
        <v>42399</v>
      </c>
      <c r="D140" s="727" t="s">
        <v>449</v>
      </c>
      <c r="E140" s="803">
        <v>47</v>
      </c>
      <c r="F140" s="802">
        <v>42</v>
      </c>
      <c r="G140" s="802">
        <v>27</v>
      </c>
      <c r="H140" s="798">
        <f t="shared" si="20"/>
        <v>1.32</v>
      </c>
      <c r="I140" s="257">
        <v>53</v>
      </c>
      <c r="J140" s="709">
        <f t="shared" si="17"/>
        <v>69.960000000000008</v>
      </c>
      <c r="K140" s="709">
        <f t="shared" si="19"/>
        <v>11012.684693810421</v>
      </c>
      <c r="L140" s="626">
        <v>10000</v>
      </c>
      <c r="M140" s="723"/>
      <c r="O140" s="704"/>
      <c r="P140" s="704"/>
      <c r="Q140" s="704"/>
      <c r="S140" s="704">
        <f t="shared" si="21"/>
        <v>530000</v>
      </c>
      <c r="T140" s="704">
        <f t="shared" si="22"/>
        <v>583672.28877195227</v>
      </c>
    </row>
    <row r="141" spans="1:20" ht="16.5" customHeight="1">
      <c r="A141" s="708">
        <f t="shared" si="18"/>
        <v>136</v>
      </c>
      <c r="B141" s="291" t="s">
        <v>928</v>
      </c>
      <c r="C141" s="726">
        <v>42399</v>
      </c>
      <c r="D141" s="727" t="s">
        <v>449</v>
      </c>
      <c r="E141" s="803">
        <v>56</v>
      </c>
      <c r="F141" s="802">
        <v>42</v>
      </c>
      <c r="G141" s="802">
        <v>27</v>
      </c>
      <c r="H141" s="798">
        <f t="shared" si="20"/>
        <v>1.45</v>
      </c>
      <c r="I141" s="257">
        <v>1570</v>
      </c>
      <c r="J141" s="709">
        <f t="shared" si="17"/>
        <v>2276.5</v>
      </c>
      <c r="K141" s="709">
        <f t="shared" si="19"/>
        <v>12097.267277291749</v>
      </c>
      <c r="L141" s="626">
        <v>14600</v>
      </c>
      <c r="M141" s="723"/>
      <c r="O141" s="704"/>
      <c r="P141" s="704"/>
      <c r="Q141" s="704"/>
      <c r="S141" s="704">
        <f t="shared" si="21"/>
        <v>22922000</v>
      </c>
      <c r="T141" s="704">
        <f t="shared" si="22"/>
        <v>18992709.625348046</v>
      </c>
    </row>
    <row r="142" spans="1:20" ht="16.5" customHeight="1">
      <c r="A142" s="708">
        <f t="shared" si="18"/>
        <v>137</v>
      </c>
      <c r="B142" s="291" t="s">
        <v>510</v>
      </c>
      <c r="C142" s="726">
        <v>42399</v>
      </c>
      <c r="D142" s="727" t="s">
        <v>946</v>
      </c>
      <c r="E142" s="803">
        <v>47</v>
      </c>
      <c r="F142" s="802">
        <v>42</v>
      </c>
      <c r="G142" s="802">
        <v>24.5</v>
      </c>
      <c r="H142" s="798">
        <f t="shared" si="20"/>
        <v>1.27</v>
      </c>
      <c r="I142" s="257">
        <v>834</v>
      </c>
      <c r="J142" s="709">
        <f t="shared" si="17"/>
        <v>1059.18</v>
      </c>
      <c r="K142" s="709">
        <f t="shared" si="19"/>
        <v>10595.537546317601</v>
      </c>
      <c r="L142" s="626">
        <v>9300</v>
      </c>
      <c r="M142" s="723"/>
      <c r="O142" s="704"/>
      <c r="P142" s="704"/>
      <c r="Q142" s="704"/>
      <c r="S142" s="704">
        <f t="shared" si="21"/>
        <v>7756200</v>
      </c>
      <c r="T142" s="704">
        <f t="shared" si="22"/>
        <v>8836678.3136288784</v>
      </c>
    </row>
    <row r="143" spans="1:20" ht="16.5" customHeight="1">
      <c r="A143" s="708">
        <f t="shared" si="18"/>
        <v>138</v>
      </c>
      <c r="B143" s="291" t="s">
        <v>947</v>
      </c>
      <c r="C143" s="726">
        <v>42399</v>
      </c>
      <c r="D143" s="727" t="s">
        <v>946</v>
      </c>
      <c r="E143" s="803">
        <v>48</v>
      </c>
      <c r="F143" s="802">
        <v>41</v>
      </c>
      <c r="G143" s="802">
        <v>18</v>
      </c>
      <c r="H143" s="798">
        <f t="shared" si="20"/>
        <v>1.1299999999999999</v>
      </c>
      <c r="I143" s="257">
        <v>106</v>
      </c>
      <c r="J143" s="709">
        <f t="shared" si="17"/>
        <v>119.77999999999999</v>
      </c>
      <c r="K143" s="709">
        <f t="shared" si="19"/>
        <v>9427.5255333377063</v>
      </c>
      <c r="L143" s="626">
        <v>9600</v>
      </c>
      <c r="M143" s="723"/>
      <c r="O143" s="704"/>
      <c r="P143" s="704"/>
      <c r="Q143" s="704"/>
      <c r="S143" s="704">
        <f t="shared" si="21"/>
        <v>1017600</v>
      </c>
      <c r="T143" s="704">
        <f t="shared" si="22"/>
        <v>999317.70653379685</v>
      </c>
    </row>
    <row r="144" spans="1:20" ht="16.5" customHeight="1">
      <c r="A144" s="708">
        <f t="shared" si="18"/>
        <v>139</v>
      </c>
      <c r="B144" s="291" t="s">
        <v>948</v>
      </c>
      <c r="C144" s="726">
        <v>42399</v>
      </c>
      <c r="D144" s="727" t="s">
        <v>946</v>
      </c>
      <c r="E144" s="803">
        <v>51</v>
      </c>
      <c r="F144" s="802">
        <v>42</v>
      </c>
      <c r="G144" s="802">
        <v>25</v>
      </c>
      <c r="H144" s="798">
        <f t="shared" si="20"/>
        <v>1.34</v>
      </c>
      <c r="I144" s="257">
        <v>70</v>
      </c>
      <c r="J144" s="709">
        <f t="shared" si="17"/>
        <v>93.800000000000011</v>
      </c>
      <c r="K144" s="709">
        <f t="shared" si="19"/>
        <v>11179.543552807549</v>
      </c>
      <c r="L144" s="626">
        <v>9700</v>
      </c>
      <c r="M144" s="723"/>
      <c r="O144" s="704"/>
      <c r="P144" s="704"/>
      <c r="Q144" s="704"/>
      <c r="S144" s="704">
        <f t="shared" si="21"/>
        <v>679000</v>
      </c>
      <c r="T144" s="704">
        <f t="shared" si="22"/>
        <v>782568.04869652842</v>
      </c>
    </row>
    <row r="145" spans="1:20" ht="16.5" customHeight="1">
      <c r="A145" s="708">
        <f t="shared" si="18"/>
        <v>140</v>
      </c>
      <c r="B145" s="291" t="s">
        <v>949</v>
      </c>
      <c r="C145" s="726">
        <v>42399</v>
      </c>
      <c r="D145" s="727" t="s">
        <v>946</v>
      </c>
      <c r="E145" s="803">
        <v>41</v>
      </c>
      <c r="F145" s="802">
        <v>42</v>
      </c>
      <c r="G145" s="802">
        <v>25</v>
      </c>
      <c r="H145" s="798">
        <f t="shared" si="20"/>
        <v>1.2</v>
      </c>
      <c r="I145" s="257">
        <v>23</v>
      </c>
      <c r="J145" s="709">
        <f t="shared" si="17"/>
        <v>27.599999999999998</v>
      </c>
      <c r="K145" s="709">
        <f t="shared" si="19"/>
        <v>10011.531539827654</v>
      </c>
      <c r="L145" s="626">
        <v>9000</v>
      </c>
      <c r="M145" s="723"/>
      <c r="O145" s="704"/>
      <c r="P145" s="704"/>
      <c r="Q145" s="704"/>
      <c r="S145" s="704">
        <f t="shared" si="21"/>
        <v>207000</v>
      </c>
      <c r="T145" s="704">
        <f t="shared" si="22"/>
        <v>230265.22541603606</v>
      </c>
    </row>
    <row r="146" spans="1:20" ht="16.5" customHeight="1">
      <c r="A146" s="708">
        <f t="shared" si="18"/>
        <v>141</v>
      </c>
      <c r="B146" s="291" t="s">
        <v>950</v>
      </c>
      <c r="C146" s="726">
        <v>42399</v>
      </c>
      <c r="D146" s="727" t="s">
        <v>946</v>
      </c>
      <c r="E146" s="803">
        <v>48</v>
      </c>
      <c r="F146" s="802">
        <v>37</v>
      </c>
      <c r="G146" s="802">
        <v>32</v>
      </c>
      <c r="H146" s="798">
        <f t="shared" si="20"/>
        <v>1.26</v>
      </c>
      <c r="I146" s="257">
        <v>55</v>
      </c>
      <c r="J146" s="709">
        <f t="shared" si="17"/>
        <v>69.3</v>
      </c>
      <c r="K146" s="709">
        <f t="shared" si="19"/>
        <v>10512.108116819038</v>
      </c>
      <c r="L146" s="626">
        <v>13000</v>
      </c>
      <c r="M146" s="723"/>
      <c r="O146" s="704"/>
      <c r="P146" s="704"/>
      <c r="Q146" s="704"/>
      <c r="S146" s="704">
        <f t="shared" si="21"/>
        <v>715000</v>
      </c>
      <c r="T146" s="704">
        <f t="shared" si="22"/>
        <v>578165.94642504712</v>
      </c>
    </row>
    <row r="147" spans="1:20" ht="16.5" customHeight="1">
      <c r="A147" s="708">
        <f t="shared" si="18"/>
        <v>142</v>
      </c>
      <c r="B147" s="291" t="s">
        <v>951</v>
      </c>
      <c r="C147" s="726">
        <v>42399</v>
      </c>
      <c r="D147" s="727" t="s">
        <v>450</v>
      </c>
      <c r="E147" s="803">
        <v>35</v>
      </c>
      <c r="F147" s="802">
        <v>28.5</v>
      </c>
      <c r="G147" s="802">
        <v>33</v>
      </c>
      <c r="H147" s="798">
        <f t="shared" si="20"/>
        <v>0.85</v>
      </c>
      <c r="I147" s="257">
        <v>209</v>
      </c>
      <c r="J147" s="709">
        <f t="shared" si="17"/>
        <v>177.65</v>
      </c>
      <c r="K147" s="709">
        <f t="shared" si="19"/>
        <v>7091.5015073779214</v>
      </c>
      <c r="L147" s="626">
        <v>7500</v>
      </c>
      <c r="M147" s="723"/>
      <c r="O147" s="704"/>
      <c r="P147" s="704"/>
      <c r="Q147" s="704"/>
      <c r="S147" s="704">
        <f t="shared" si="21"/>
        <v>1567500</v>
      </c>
      <c r="T147" s="704">
        <f t="shared" si="22"/>
        <v>1482123.8150419856</v>
      </c>
    </row>
    <row r="148" spans="1:20" ht="16.5" customHeight="1">
      <c r="A148" s="708">
        <f t="shared" si="18"/>
        <v>143</v>
      </c>
      <c r="B148" s="291" t="s">
        <v>952</v>
      </c>
      <c r="C148" s="726">
        <v>42399</v>
      </c>
      <c r="D148" s="727" t="s">
        <v>450</v>
      </c>
      <c r="E148" s="803">
        <v>29</v>
      </c>
      <c r="F148" s="802">
        <v>29</v>
      </c>
      <c r="G148" s="802">
        <v>36.5</v>
      </c>
      <c r="H148" s="798">
        <f t="shared" si="20"/>
        <v>0.83</v>
      </c>
      <c r="I148" s="257">
        <v>10</v>
      </c>
      <c r="J148" s="709">
        <f t="shared" si="17"/>
        <v>8.2999999999999989</v>
      </c>
      <c r="K148" s="709">
        <f t="shared" si="19"/>
        <v>6924.6426483807936</v>
      </c>
      <c r="L148" s="626">
        <v>7400</v>
      </c>
      <c r="M148" s="723"/>
      <c r="O148" s="704"/>
      <c r="P148" s="704"/>
      <c r="Q148" s="704"/>
      <c r="S148" s="704">
        <f t="shared" si="21"/>
        <v>74000</v>
      </c>
      <c r="T148" s="704">
        <f t="shared" si="22"/>
        <v>69246.42648380794</v>
      </c>
    </row>
    <row r="149" spans="1:20" ht="16.5" customHeight="1">
      <c r="A149" s="708">
        <f t="shared" si="18"/>
        <v>144</v>
      </c>
      <c r="B149" s="291" t="s">
        <v>953</v>
      </c>
      <c r="C149" s="726">
        <v>42399</v>
      </c>
      <c r="D149" s="727" t="s">
        <v>451</v>
      </c>
      <c r="E149" s="803">
        <v>70</v>
      </c>
      <c r="F149" s="802">
        <v>70</v>
      </c>
      <c r="G149" s="802">
        <v>38</v>
      </c>
      <c r="H149" s="798">
        <f t="shared" si="20"/>
        <v>3.16</v>
      </c>
      <c r="I149" s="257">
        <v>50</v>
      </c>
      <c r="J149" s="709">
        <f t="shared" si="17"/>
        <v>158</v>
      </c>
      <c r="K149" s="709">
        <f t="shared" si="19"/>
        <v>26363.699721546156</v>
      </c>
      <c r="L149" s="626">
        <v>30500</v>
      </c>
      <c r="M149" s="723"/>
      <c r="O149" s="704"/>
      <c r="P149" s="704"/>
      <c r="Q149" s="704"/>
      <c r="S149" s="704">
        <f t="shared" si="21"/>
        <v>1525000</v>
      </c>
      <c r="T149" s="704">
        <f t="shared" si="22"/>
        <v>1318184.9860773077</v>
      </c>
    </row>
    <row r="150" spans="1:20" ht="16.5" customHeight="1">
      <c r="A150" s="708">
        <f t="shared" si="18"/>
        <v>145</v>
      </c>
      <c r="B150" s="291" t="s">
        <v>954</v>
      </c>
      <c r="C150" s="726">
        <v>42401</v>
      </c>
      <c r="D150" s="727" t="s">
        <v>452</v>
      </c>
      <c r="E150" s="803">
        <v>50</v>
      </c>
      <c r="F150" s="802">
        <v>39</v>
      </c>
      <c r="G150" s="802">
        <v>31</v>
      </c>
      <c r="H150" s="798">
        <f t="shared" si="20"/>
        <v>1.34</v>
      </c>
      <c r="I150" s="257">
        <v>103</v>
      </c>
      <c r="J150" s="709">
        <f t="shared" si="17"/>
        <v>138.02000000000001</v>
      </c>
      <c r="K150" s="709">
        <f t="shared" si="19"/>
        <v>11179.543552807549</v>
      </c>
      <c r="L150" s="626">
        <v>19700</v>
      </c>
      <c r="M150" s="723"/>
      <c r="O150" s="704"/>
      <c r="P150" s="704"/>
      <c r="Q150" s="704"/>
      <c r="S150" s="704">
        <f t="shared" si="21"/>
        <v>2029100</v>
      </c>
      <c r="T150" s="704">
        <f t="shared" si="22"/>
        <v>1151492.9859391775</v>
      </c>
    </row>
    <row r="151" spans="1:20" ht="16.5" customHeight="1">
      <c r="A151" s="708">
        <f t="shared" si="18"/>
        <v>146</v>
      </c>
      <c r="B151" s="291" t="s">
        <v>993</v>
      </c>
      <c r="C151" s="726">
        <v>42401</v>
      </c>
      <c r="D151" s="727" t="s">
        <v>453</v>
      </c>
      <c r="E151" s="803">
        <v>72</v>
      </c>
      <c r="F151" s="802">
        <v>51.5</v>
      </c>
      <c r="G151" s="802">
        <v>40</v>
      </c>
      <c r="H151" s="798">
        <f t="shared" si="20"/>
        <v>2.38</v>
      </c>
      <c r="I151" s="257">
        <v>141</v>
      </c>
      <c r="J151" s="709">
        <f t="shared" si="17"/>
        <v>335.58</v>
      </c>
      <c r="K151" s="709">
        <f t="shared" si="19"/>
        <v>19856.204220658179</v>
      </c>
      <c r="L151" s="626">
        <v>7900</v>
      </c>
      <c r="M151" s="723"/>
      <c r="O151" s="704"/>
      <c r="P151" s="704"/>
      <c r="Q151" s="704"/>
      <c r="S151" s="704">
        <f t="shared" si="21"/>
        <v>1113900</v>
      </c>
      <c r="T151" s="704">
        <f t="shared" si="22"/>
        <v>2799724.7951128031</v>
      </c>
    </row>
    <row r="152" spans="1:20" ht="16.5" customHeight="1">
      <c r="A152" s="708">
        <f t="shared" si="18"/>
        <v>147</v>
      </c>
      <c r="B152" s="291" t="s">
        <v>666</v>
      </c>
      <c r="C152" s="726">
        <v>42401</v>
      </c>
      <c r="D152" s="727" t="s">
        <v>955</v>
      </c>
      <c r="E152" s="803">
        <v>50</v>
      </c>
      <c r="F152" s="802">
        <v>39</v>
      </c>
      <c r="G152" s="802">
        <v>18</v>
      </c>
      <c r="H152" s="798">
        <f t="shared" si="20"/>
        <v>1.1000000000000001</v>
      </c>
      <c r="I152" s="257">
        <v>250</v>
      </c>
      <c r="J152" s="709">
        <f t="shared" si="17"/>
        <v>275</v>
      </c>
      <c r="K152" s="709">
        <f t="shared" si="19"/>
        <v>9177.2372448420174</v>
      </c>
      <c r="L152" s="626">
        <v>8300</v>
      </c>
      <c r="M152" s="723"/>
      <c r="O152" s="704"/>
      <c r="P152" s="704"/>
      <c r="Q152" s="704"/>
      <c r="S152" s="704">
        <f t="shared" si="21"/>
        <v>2075000</v>
      </c>
      <c r="T152" s="704">
        <f t="shared" si="22"/>
        <v>2294309.3112105043</v>
      </c>
    </row>
    <row r="153" spans="1:20" ht="16.5" customHeight="1">
      <c r="A153" s="708">
        <f t="shared" si="18"/>
        <v>148</v>
      </c>
      <c r="B153" s="291" t="s">
        <v>689</v>
      </c>
      <c r="C153" s="726">
        <v>42402</v>
      </c>
      <c r="D153" s="727" t="s">
        <v>956</v>
      </c>
      <c r="E153" s="803">
        <v>57</v>
      </c>
      <c r="F153" s="802">
        <v>38</v>
      </c>
      <c r="G153" s="802">
        <v>33</v>
      </c>
      <c r="H153" s="798">
        <f t="shared" si="20"/>
        <v>1.44</v>
      </c>
      <c r="I153" s="257">
        <v>100</v>
      </c>
      <c r="J153" s="709">
        <f t="shared" si="17"/>
        <v>144</v>
      </c>
      <c r="K153" s="709">
        <f t="shared" si="19"/>
        <v>12013.837847793186</v>
      </c>
      <c r="L153" s="626">
        <v>10920</v>
      </c>
      <c r="M153" s="723"/>
      <c r="O153" s="704"/>
      <c r="P153" s="704"/>
      <c r="Q153" s="704"/>
      <c r="S153" s="704">
        <f t="shared" si="21"/>
        <v>1092000</v>
      </c>
      <c r="T153" s="704">
        <f t="shared" si="22"/>
        <v>1201383.7847793186</v>
      </c>
    </row>
    <row r="154" spans="1:20" ht="16.5" customHeight="1">
      <c r="A154" s="708">
        <f t="shared" si="18"/>
        <v>149</v>
      </c>
      <c r="B154" s="291" t="s">
        <v>688</v>
      </c>
      <c r="C154" s="726">
        <v>42402</v>
      </c>
      <c r="D154" s="727" t="s">
        <v>956</v>
      </c>
      <c r="E154" s="803">
        <v>43</v>
      </c>
      <c r="F154" s="802">
        <v>29</v>
      </c>
      <c r="G154" s="802">
        <v>20</v>
      </c>
      <c r="H154" s="798">
        <f t="shared" si="20"/>
        <v>0.77</v>
      </c>
      <c r="I154" s="257">
        <v>505</v>
      </c>
      <c r="J154" s="709">
        <f t="shared" si="17"/>
        <v>388.85</v>
      </c>
      <c r="K154" s="709">
        <f t="shared" si="19"/>
        <v>6424.0660713894113</v>
      </c>
      <c r="L154" s="626">
        <v>6450</v>
      </c>
      <c r="M154" s="723"/>
      <c r="O154" s="704"/>
      <c r="P154" s="704"/>
      <c r="Q154" s="704"/>
      <c r="S154" s="704">
        <f t="shared" si="21"/>
        <v>3257250</v>
      </c>
      <c r="T154" s="704">
        <f t="shared" si="22"/>
        <v>3244153.3660516525</v>
      </c>
    </row>
    <row r="155" spans="1:20" ht="16.5" customHeight="1">
      <c r="A155" s="708">
        <f t="shared" si="18"/>
        <v>150</v>
      </c>
      <c r="B155" s="291" t="s">
        <v>419</v>
      </c>
      <c r="C155" s="726">
        <v>42402</v>
      </c>
      <c r="D155" s="727" t="s">
        <v>455</v>
      </c>
      <c r="E155" s="803">
        <v>52</v>
      </c>
      <c r="F155" s="802">
        <v>24.5</v>
      </c>
      <c r="G155" s="802">
        <v>24.5</v>
      </c>
      <c r="H155" s="798">
        <f t="shared" si="20"/>
        <v>0.82</v>
      </c>
      <c r="I155" s="257">
        <v>494</v>
      </c>
      <c r="J155" s="709">
        <f t="shared" si="17"/>
        <v>405.08</v>
      </c>
      <c r="K155" s="709">
        <f t="shared" si="19"/>
        <v>6841.2132188822297</v>
      </c>
      <c r="L155" s="626">
        <v>5000</v>
      </c>
      <c r="M155" s="723"/>
      <c r="O155" s="704"/>
      <c r="P155" s="704"/>
      <c r="Q155" s="704"/>
      <c r="S155" s="704">
        <f t="shared" si="21"/>
        <v>2470000</v>
      </c>
      <c r="T155" s="704">
        <f t="shared" si="22"/>
        <v>3379559.3301278213</v>
      </c>
    </row>
    <row r="156" spans="1:20" ht="16.5" customHeight="1">
      <c r="A156" s="708">
        <f t="shared" si="18"/>
        <v>151</v>
      </c>
      <c r="B156" s="291" t="s">
        <v>1465</v>
      </c>
      <c r="C156" s="726">
        <v>42403</v>
      </c>
      <c r="D156" s="727" t="s">
        <v>957</v>
      </c>
      <c r="E156" s="803">
        <v>41</v>
      </c>
      <c r="F156" s="802">
        <v>39</v>
      </c>
      <c r="G156" s="802">
        <v>20</v>
      </c>
      <c r="H156" s="798">
        <f t="shared" si="20"/>
        <v>1.02</v>
      </c>
      <c r="I156" s="257">
        <v>235</v>
      </c>
      <c r="J156" s="709">
        <f t="shared" si="17"/>
        <v>239.70000000000002</v>
      </c>
      <c r="K156" s="709">
        <f t="shared" si="19"/>
        <v>8509.8018088535064</v>
      </c>
      <c r="L156" s="626">
        <v>10900</v>
      </c>
      <c r="M156" s="723"/>
      <c r="O156" s="704"/>
      <c r="P156" s="704"/>
      <c r="Q156" s="704"/>
      <c r="S156" s="704">
        <f t="shared" si="21"/>
        <v>2561500</v>
      </c>
      <c r="T156" s="704">
        <f t="shared" si="22"/>
        <v>1999803.4250805739</v>
      </c>
    </row>
    <row r="157" spans="1:20" ht="16.5" customHeight="1">
      <c r="A157" s="708">
        <f t="shared" ref="A157:A188" si="23">IF(B155&lt;&gt;"",A156+1,"")</f>
        <v>152</v>
      </c>
      <c r="B157" s="291" t="s">
        <v>1338</v>
      </c>
      <c r="C157" s="726">
        <v>42403</v>
      </c>
      <c r="D157" s="727" t="s">
        <v>957</v>
      </c>
      <c r="E157" s="803">
        <v>49</v>
      </c>
      <c r="F157" s="802">
        <v>47</v>
      </c>
      <c r="G157" s="802">
        <v>27</v>
      </c>
      <c r="H157" s="798">
        <f t="shared" si="20"/>
        <v>1.52</v>
      </c>
      <c r="I157" s="257">
        <v>600</v>
      </c>
      <c r="J157" s="709">
        <f t="shared" si="17"/>
        <v>912</v>
      </c>
      <c r="K157" s="709">
        <f t="shared" si="19"/>
        <v>12681.273283781695</v>
      </c>
      <c r="L157" s="626">
        <v>14200</v>
      </c>
      <c r="M157" s="723"/>
      <c r="O157" s="704"/>
      <c r="P157" s="704"/>
      <c r="Q157" s="704"/>
      <c r="S157" s="704">
        <f t="shared" si="21"/>
        <v>8520000</v>
      </c>
      <c r="T157" s="704">
        <f t="shared" si="22"/>
        <v>7608763.9702690169</v>
      </c>
    </row>
    <row r="158" spans="1:20" ht="16.5" customHeight="1">
      <c r="A158" s="708">
        <f t="shared" si="23"/>
        <v>153</v>
      </c>
      <c r="B158" s="291" t="s">
        <v>1341</v>
      </c>
      <c r="C158" s="726">
        <v>42403</v>
      </c>
      <c r="D158" s="727" t="s">
        <v>957</v>
      </c>
      <c r="E158" s="803">
        <v>38</v>
      </c>
      <c r="F158" s="802">
        <v>37</v>
      </c>
      <c r="G158" s="802">
        <v>30</v>
      </c>
      <c r="H158" s="798">
        <f t="shared" si="20"/>
        <v>1.0900000000000001</v>
      </c>
      <c r="I158" s="257">
        <v>600</v>
      </c>
      <c r="J158" s="709">
        <f t="shared" si="17"/>
        <v>654</v>
      </c>
      <c r="K158" s="709">
        <f t="shared" si="19"/>
        <v>9093.8078153434526</v>
      </c>
      <c r="L158" s="626">
        <v>15300</v>
      </c>
      <c r="M158" s="723"/>
      <c r="O158" s="704"/>
      <c r="P158" s="704"/>
      <c r="Q158" s="704"/>
      <c r="S158" s="704">
        <f t="shared" si="21"/>
        <v>9180000</v>
      </c>
      <c r="T158" s="704">
        <f t="shared" si="22"/>
        <v>5456284.6892060712</v>
      </c>
    </row>
    <row r="159" spans="1:20" ht="16.5" customHeight="1">
      <c r="A159" s="708">
        <f t="shared" si="23"/>
        <v>154</v>
      </c>
      <c r="B159" s="291" t="s">
        <v>1339</v>
      </c>
      <c r="C159" s="726">
        <v>42403</v>
      </c>
      <c r="D159" s="727" t="s">
        <v>957</v>
      </c>
      <c r="E159" s="803">
        <v>40</v>
      </c>
      <c r="F159" s="802">
        <v>39</v>
      </c>
      <c r="G159" s="802">
        <v>32</v>
      </c>
      <c r="H159" s="798">
        <f t="shared" si="20"/>
        <v>1.21</v>
      </c>
      <c r="I159" s="257">
        <v>350</v>
      </c>
      <c r="J159" s="709">
        <f t="shared" si="17"/>
        <v>423.5</v>
      </c>
      <c r="K159" s="709">
        <f t="shared" si="19"/>
        <v>10094.960969326217</v>
      </c>
      <c r="L159" s="626">
        <v>16500</v>
      </c>
      <c r="M159" s="723"/>
      <c r="O159" s="704"/>
      <c r="P159" s="704"/>
      <c r="Q159" s="704"/>
      <c r="S159" s="704">
        <f t="shared" si="21"/>
        <v>5775000</v>
      </c>
      <c r="T159" s="704">
        <f t="shared" si="22"/>
        <v>3533236.3392641759</v>
      </c>
    </row>
    <row r="160" spans="1:20" ht="16.5" customHeight="1">
      <c r="A160" s="708">
        <f t="shared" si="23"/>
        <v>155</v>
      </c>
      <c r="B160" s="291" t="s">
        <v>1340</v>
      </c>
      <c r="C160" s="726">
        <v>42403</v>
      </c>
      <c r="D160" s="727" t="s">
        <v>957</v>
      </c>
      <c r="E160" s="803">
        <v>42</v>
      </c>
      <c r="F160" s="802">
        <v>41</v>
      </c>
      <c r="G160" s="802">
        <v>34</v>
      </c>
      <c r="H160" s="798">
        <f t="shared" si="20"/>
        <v>1.33</v>
      </c>
      <c r="I160" s="257">
        <v>500</v>
      </c>
      <c r="J160" s="709">
        <f t="shared" si="17"/>
        <v>665</v>
      </c>
      <c r="K160" s="709">
        <f t="shared" si="19"/>
        <v>11096.114123308984</v>
      </c>
      <c r="L160" s="626">
        <v>19700</v>
      </c>
      <c r="M160" s="723"/>
      <c r="O160" s="704"/>
      <c r="P160" s="704"/>
      <c r="Q160" s="704"/>
      <c r="S160" s="704">
        <f t="shared" si="21"/>
        <v>9850000</v>
      </c>
      <c r="T160" s="704">
        <f t="shared" si="22"/>
        <v>5548057.0616544923</v>
      </c>
    </row>
    <row r="161" spans="1:20" ht="16.5" customHeight="1">
      <c r="A161" s="708">
        <f t="shared" si="23"/>
        <v>156</v>
      </c>
      <c r="B161" s="291" t="s">
        <v>1467</v>
      </c>
      <c r="C161" s="726">
        <v>42403</v>
      </c>
      <c r="D161" s="727" t="s">
        <v>957</v>
      </c>
      <c r="E161" s="803">
        <v>63</v>
      </c>
      <c r="F161" s="802">
        <v>53</v>
      </c>
      <c r="G161" s="802">
        <v>32</v>
      </c>
      <c r="H161" s="798">
        <f t="shared" si="20"/>
        <v>2.09</v>
      </c>
      <c r="I161" s="257">
        <v>500</v>
      </c>
      <c r="J161" s="709">
        <f t="shared" si="17"/>
        <v>1045</v>
      </c>
      <c r="K161" s="709">
        <f t="shared" si="19"/>
        <v>17436.750765199831</v>
      </c>
      <c r="L161" s="626">
        <v>20100</v>
      </c>
      <c r="M161" s="723"/>
      <c r="O161" s="704"/>
      <c r="P161" s="704"/>
      <c r="Q161" s="704"/>
      <c r="S161" s="704">
        <f t="shared" si="21"/>
        <v>10050000</v>
      </c>
      <c r="T161" s="704">
        <f t="shared" si="22"/>
        <v>8718375.3825999163</v>
      </c>
    </row>
    <row r="162" spans="1:20" ht="16.5" customHeight="1">
      <c r="A162" s="708">
        <f t="shared" si="23"/>
        <v>157</v>
      </c>
      <c r="B162" s="291" t="s">
        <v>419</v>
      </c>
      <c r="C162" s="726">
        <v>42418</v>
      </c>
      <c r="D162" s="727" t="s">
        <v>456</v>
      </c>
      <c r="E162" s="803">
        <v>52</v>
      </c>
      <c r="F162" s="802">
        <v>24.5</v>
      </c>
      <c r="G162" s="802">
        <v>24.5</v>
      </c>
      <c r="H162" s="798">
        <f t="shared" si="20"/>
        <v>0.82</v>
      </c>
      <c r="I162" s="257">
        <v>421</v>
      </c>
      <c r="J162" s="709">
        <f t="shared" si="17"/>
        <v>345.21999999999997</v>
      </c>
      <c r="K162" s="709">
        <f t="shared" si="19"/>
        <v>6841.2132188822297</v>
      </c>
      <c r="L162" s="626">
        <v>5000</v>
      </c>
      <c r="M162" s="723"/>
      <c r="O162" s="704"/>
      <c r="P162" s="704"/>
      <c r="Q162" s="704"/>
      <c r="S162" s="704">
        <f t="shared" si="21"/>
        <v>2105000</v>
      </c>
      <c r="T162" s="704">
        <f t="shared" si="22"/>
        <v>2880150.7651494187</v>
      </c>
    </row>
    <row r="163" spans="1:20" ht="16.5" customHeight="1">
      <c r="A163" s="708">
        <f t="shared" si="23"/>
        <v>158</v>
      </c>
      <c r="B163" s="291" t="s">
        <v>958</v>
      </c>
      <c r="C163" s="726">
        <v>42418</v>
      </c>
      <c r="D163" s="727" t="s">
        <v>456</v>
      </c>
      <c r="E163" s="803">
        <v>52</v>
      </c>
      <c r="F163" s="802">
        <v>27</v>
      </c>
      <c r="G163" s="802">
        <v>26.5</v>
      </c>
      <c r="H163" s="798">
        <f t="shared" si="20"/>
        <v>0.92</v>
      </c>
      <c r="I163" s="257">
        <v>596</v>
      </c>
      <c r="J163" s="709">
        <f t="shared" si="17"/>
        <v>548.32000000000005</v>
      </c>
      <c r="K163" s="709">
        <f t="shared" si="19"/>
        <v>7675.5075138678685</v>
      </c>
      <c r="L163" s="626">
        <v>5550</v>
      </c>
      <c r="M163" s="723"/>
      <c r="O163" s="704"/>
      <c r="P163" s="704"/>
      <c r="Q163" s="704"/>
      <c r="S163" s="704">
        <f t="shared" si="21"/>
        <v>3307800</v>
      </c>
      <c r="T163" s="704">
        <f t="shared" si="22"/>
        <v>4574602.4782652492</v>
      </c>
    </row>
    <row r="164" spans="1:20" ht="16.5" customHeight="1">
      <c r="A164" s="708">
        <f t="shared" si="23"/>
        <v>159</v>
      </c>
      <c r="B164" s="291" t="s">
        <v>656</v>
      </c>
      <c r="C164" s="726">
        <v>42418</v>
      </c>
      <c r="D164" s="727" t="s">
        <v>456</v>
      </c>
      <c r="E164" s="803">
        <v>52</v>
      </c>
      <c r="F164" s="802">
        <v>43</v>
      </c>
      <c r="G164" s="802">
        <v>30</v>
      </c>
      <c r="H164" s="798">
        <f t="shared" si="20"/>
        <v>1.48</v>
      </c>
      <c r="I164" s="257">
        <v>309</v>
      </c>
      <c r="J164" s="709">
        <f t="shared" si="17"/>
        <v>457.32</v>
      </c>
      <c r="K164" s="709">
        <f t="shared" si="19"/>
        <v>12347.555565787441</v>
      </c>
      <c r="L164" s="626">
        <v>9290</v>
      </c>
      <c r="M164" s="723"/>
      <c r="O164" s="704"/>
      <c r="P164" s="704"/>
      <c r="Q164" s="704"/>
      <c r="S164" s="704">
        <f t="shared" si="21"/>
        <v>2870610</v>
      </c>
      <c r="T164" s="704">
        <f t="shared" si="22"/>
        <v>3815394.6698283195</v>
      </c>
    </row>
    <row r="165" spans="1:20" ht="16.5" customHeight="1">
      <c r="A165" s="708">
        <f t="shared" si="23"/>
        <v>160</v>
      </c>
      <c r="B165" s="291" t="s">
        <v>426</v>
      </c>
      <c r="C165" s="726">
        <v>42420</v>
      </c>
      <c r="D165" s="727" t="s">
        <v>457</v>
      </c>
      <c r="E165" s="803">
        <v>36.5</v>
      </c>
      <c r="F165" s="802">
        <v>27.3</v>
      </c>
      <c r="G165" s="802">
        <v>25.5</v>
      </c>
      <c r="H165" s="798">
        <f t="shared" si="20"/>
        <v>0.74</v>
      </c>
      <c r="I165" s="257">
        <v>2259</v>
      </c>
      <c r="J165" s="709">
        <f t="shared" si="17"/>
        <v>1671.66</v>
      </c>
      <c r="K165" s="709">
        <f t="shared" si="19"/>
        <v>6173.7777828937205</v>
      </c>
      <c r="L165" s="626">
        <v>7400</v>
      </c>
      <c r="M165" s="723"/>
      <c r="O165" s="704"/>
      <c r="P165" s="704"/>
      <c r="Q165" s="704"/>
      <c r="S165" s="704">
        <f t="shared" si="21"/>
        <v>16716600</v>
      </c>
      <c r="T165" s="704">
        <f t="shared" si="22"/>
        <v>13946564.011556914</v>
      </c>
    </row>
    <row r="166" spans="1:20" ht="16.5" customHeight="1">
      <c r="A166" s="708">
        <f t="shared" si="23"/>
        <v>161</v>
      </c>
      <c r="B166" s="291" t="s">
        <v>993</v>
      </c>
      <c r="C166" s="726">
        <v>42422</v>
      </c>
      <c r="D166" s="727" t="s">
        <v>460</v>
      </c>
      <c r="E166" s="803">
        <v>72</v>
      </c>
      <c r="F166" s="802">
        <v>51.5</v>
      </c>
      <c r="G166" s="802">
        <v>40</v>
      </c>
      <c r="H166" s="798">
        <f t="shared" si="20"/>
        <v>2.38</v>
      </c>
      <c r="I166" s="257">
        <v>349</v>
      </c>
      <c r="J166" s="709">
        <f t="shared" si="17"/>
        <v>830.62</v>
      </c>
      <c r="K166" s="709">
        <f t="shared" si="19"/>
        <v>19856.204220658179</v>
      </c>
      <c r="L166" s="626">
        <v>7900</v>
      </c>
      <c r="M166" s="723"/>
      <c r="O166" s="704"/>
      <c r="P166" s="704"/>
      <c r="Q166" s="704"/>
      <c r="S166" s="704">
        <f t="shared" si="21"/>
        <v>2757100</v>
      </c>
      <c r="T166" s="704">
        <f t="shared" si="22"/>
        <v>6929815.2730097044</v>
      </c>
    </row>
    <row r="167" spans="1:20" ht="16.5" customHeight="1">
      <c r="A167" s="708">
        <f t="shared" si="23"/>
        <v>162</v>
      </c>
      <c r="B167" s="291" t="s">
        <v>627</v>
      </c>
      <c r="C167" s="726">
        <v>42422</v>
      </c>
      <c r="D167" s="727" t="s">
        <v>460</v>
      </c>
      <c r="E167" s="803">
        <v>35</v>
      </c>
      <c r="F167" s="802">
        <v>35</v>
      </c>
      <c r="G167" s="802">
        <v>29</v>
      </c>
      <c r="H167" s="798">
        <f t="shared" si="20"/>
        <v>0.97</v>
      </c>
      <c r="I167" s="257">
        <v>205</v>
      </c>
      <c r="J167" s="709">
        <f t="shared" si="17"/>
        <v>198.85</v>
      </c>
      <c r="K167" s="709">
        <f t="shared" si="19"/>
        <v>8092.654661360687</v>
      </c>
      <c r="L167" s="626">
        <v>9800</v>
      </c>
      <c r="M167" s="723"/>
      <c r="O167" s="704"/>
      <c r="P167" s="704"/>
      <c r="Q167" s="704"/>
      <c r="S167" s="704">
        <f t="shared" si="21"/>
        <v>2009000</v>
      </c>
      <c r="T167" s="704">
        <f t="shared" si="22"/>
        <v>1658994.2055789409</v>
      </c>
    </row>
    <row r="168" spans="1:20" ht="16.5" customHeight="1">
      <c r="A168" s="708">
        <f t="shared" si="23"/>
        <v>163</v>
      </c>
      <c r="B168" s="291" t="s">
        <v>486</v>
      </c>
      <c r="C168" s="726">
        <v>42422</v>
      </c>
      <c r="D168" s="727" t="s">
        <v>460</v>
      </c>
      <c r="E168" s="803">
        <v>39.5</v>
      </c>
      <c r="F168" s="802">
        <v>32.299999999999997</v>
      </c>
      <c r="G168" s="802">
        <v>27.7</v>
      </c>
      <c r="H168" s="798">
        <f t="shared" si="20"/>
        <v>0.94</v>
      </c>
      <c r="I168" s="257">
        <v>407</v>
      </c>
      <c r="J168" s="709">
        <f t="shared" si="17"/>
        <v>382.58</v>
      </c>
      <c r="K168" s="709">
        <f t="shared" si="19"/>
        <v>7842.3663728649954</v>
      </c>
      <c r="L168" s="626">
        <v>9400</v>
      </c>
      <c r="M168" s="723"/>
      <c r="O168" s="704"/>
      <c r="P168" s="704"/>
      <c r="Q168" s="704"/>
      <c r="S168" s="704">
        <f t="shared" si="21"/>
        <v>3825800</v>
      </c>
      <c r="T168" s="704">
        <f t="shared" si="22"/>
        <v>3191843.1137560531</v>
      </c>
    </row>
    <row r="169" spans="1:20" ht="16.5" customHeight="1">
      <c r="A169" s="708">
        <f t="shared" si="23"/>
        <v>164</v>
      </c>
      <c r="B169" s="291" t="s">
        <v>507</v>
      </c>
      <c r="C169" s="726">
        <v>42422</v>
      </c>
      <c r="D169" s="727" t="s">
        <v>460</v>
      </c>
      <c r="E169" s="803">
        <v>43</v>
      </c>
      <c r="F169" s="802">
        <v>27.5</v>
      </c>
      <c r="G169" s="802">
        <v>33</v>
      </c>
      <c r="H169" s="798">
        <f t="shared" si="20"/>
        <v>0.93</v>
      </c>
      <c r="I169" s="257">
        <v>105</v>
      </c>
      <c r="J169" s="709">
        <f t="shared" si="17"/>
        <v>97.65</v>
      </c>
      <c r="K169" s="709">
        <f t="shared" si="19"/>
        <v>7758.9369433664324</v>
      </c>
      <c r="L169" s="626">
        <v>6400</v>
      </c>
      <c r="M169" s="723"/>
      <c r="O169" s="704"/>
      <c r="P169" s="704"/>
      <c r="Q169" s="704"/>
      <c r="S169" s="704">
        <f t="shared" si="21"/>
        <v>672000</v>
      </c>
      <c r="T169" s="704">
        <f t="shared" si="22"/>
        <v>814688.37905347545</v>
      </c>
    </row>
    <row r="170" spans="1:20" ht="16.5" customHeight="1">
      <c r="A170" s="708">
        <f t="shared" si="23"/>
        <v>165</v>
      </c>
      <c r="B170" s="291" t="s">
        <v>959</v>
      </c>
      <c r="C170" s="726">
        <v>42423</v>
      </c>
      <c r="D170" s="727" t="s">
        <v>461</v>
      </c>
      <c r="E170" s="803">
        <v>60</v>
      </c>
      <c r="F170" s="802">
        <v>37</v>
      </c>
      <c r="G170" s="802">
        <v>27</v>
      </c>
      <c r="H170" s="798">
        <f t="shared" si="20"/>
        <v>1.33</v>
      </c>
      <c r="I170" s="257">
        <v>500</v>
      </c>
      <c r="J170" s="709">
        <f t="shared" si="17"/>
        <v>665</v>
      </c>
      <c r="K170" s="709">
        <f t="shared" si="19"/>
        <v>11096.114123308984</v>
      </c>
      <c r="L170" s="626">
        <v>14800</v>
      </c>
      <c r="M170" s="723"/>
      <c r="O170" s="704"/>
      <c r="P170" s="704"/>
      <c r="Q170" s="704"/>
      <c r="S170" s="704">
        <f t="shared" si="21"/>
        <v>7400000</v>
      </c>
      <c r="T170" s="704">
        <f t="shared" si="22"/>
        <v>5548057.0616544923</v>
      </c>
    </row>
    <row r="171" spans="1:20" ht="16.5" customHeight="1">
      <c r="A171" s="708">
        <f t="shared" si="23"/>
        <v>166</v>
      </c>
      <c r="B171" s="291" t="s">
        <v>445</v>
      </c>
      <c r="C171" s="726">
        <v>42423</v>
      </c>
      <c r="D171" s="727" t="s">
        <v>462</v>
      </c>
      <c r="E171" s="803">
        <v>49.5</v>
      </c>
      <c r="F171" s="802">
        <v>38.5</v>
      </c>
      <c r="G171" s="802">
        <v>32.5</v>
      </c>
      <c r="H171" s="798">
        <f t="shared" si="20"/>
        <v>1.34</v>
      </c>
      <c r="I171" s="257">
        <v>102</v>
      </c>
      <c r="J171" s="709">
        <f t="shared" si="17"/>
        <v>136.68</v>
      </c>
      <c r="K171" s="709">
        <f t="shared" si="19"/>
        <v>11179.543552807549</v>
      </c>
      <c r="L171" s="626">
        <v>12900</v>
      </c>
      <c r="M171" s="723"/>
      <c r="O171" s="704"/>
      <c r="P171" s="704"/>
      <c r="Q171" s="704"/>
      <c r="S171" s="704">
        <f t="shared" si="21"/>
        <v>1315800</v>
      </c>
      <c r="T171" s="704">
        <f t="shared" si="22"/>
        <v>1140313.4423863699</v>
      </c>
    </row>
    <row r="172" spans="1:20" ht="16.5" customHeight="1">
      <c r="A172" s="708">
        <f t="shared" si="23"/>
        <v>167</v>
      </c>
      <c r="B172" s="291" t="s">
        <v>1466</v>
      </c>
      <c r="C172" s="726">
        <v>42423</v>
      </c>
      <c r="D172" s="727" t="s">
        <v>463</v>
      </c>
      <c r="E172" s="803">
        <v>41</v>
      </c>
      <c r="F172" s="802">
        <v>41</v>
      </c>
      <c r="G172" s="802">
        <v>25</v>
      </c>
      <c r="H172" s="798">
        <f t="shared" si="20"/>
        <v>1.17</v>
      </c>
      <c r="I172" s="257">
        <v>1509</v>
      </c>
      <c r="J172" s="709">
        <f t="shared" si="17"/>
        <v>1765.53</v>
      </c>
      <c r="K172" s="709">
        <f t="shared" si="19"/>
        <v>9761.2432513319618</v>
      </c>
      <c r="L172" s="626">
        <v>11300</v>
      </c>
      <c r="M172" s="723"/>
      <c r="O172" s="704"/>
      <c r="P172" s="704"/>
      <c r="Q172" s="704"/>
      <c r="S172" s="704">
        <f t="shared" si="21"/>
        <v>17051700</v>
      </c>
      <c r="T172" s="704">
        <f t="shared" si="22"/>
        <v>14729716.06625993</v>
      </c>
    </row>
    <row r="173" spans="1:20" ht="16.5" customHeight="1">
      <c r="A173" s="708">
        <f t="shared" si="23"/>
        <v>168</v>
      </c>
      <c r="B173" s="291" t="s">
        <v>1337</v>
      </c>
      <c r="C173" s="726">
        <v>42423</v>
      </c>
      <c r="D173" s="727" t="s">
        <v>463</v>
      </c>
      <c r="E173" s="803">
        <v>43</v>
      </c>
      <c r="F173" s="802">
        <v>42</v>
      </c>
      <c r="G173" s="802">
        <v>26</v>
      </c>
      <c r="H173" s="798">
        <f t="shared" si="20"/>
        <v>1.24</v>
      </c>
      <c r="I173" s="257">
        <v>783</v>
      </c>
      <c r="J173" s="709">
        <f t="shared" si="17"/>
        <v>970.92</v>
      </c>
      <c r="K173" s="709">
        <f t="shared" si="19"/>
        <v>10345.24925782191</v>
      </c>
      <c r="L173" s="626">
        <v>11800</v>
      </c>
      <c r="M173" s="723"/>
      <c r="O173" s="704"/>
      <c r="P173" s="704"/>
      <c r="Q173" s="704"/>
      <c r="S173" s="704">
        <f t="shared" si="21"/>
        <v>9239400</v>
      </c>
      <c r="T173" s="704">
        <f t="shared" si="22"/>
        <v>8100330.1688745553</v>
      </c>
    </row>
    <row r="174" spans="1:20" ht="16.5" customHeight="1">
      <c r="A174" s="708">
        <f t="shared" si="23"/>
        <v>169</v>
      </c>
      <c r="B174" s="291" t="s">
        <v>675</v>
      </c>
      <c r="C174" s="726">
        <v>42423</v>
      </c>
      <c r="D174" s="727" t="s">
        <v>464</v>
      </c>
      <c r="E174" s="803">
        <v>45</v>
      </c>
      <c r="F174" s="802">
        <v>37</v>
      </c>
      <c r="G174" s="802">
        <v>27.5</v>
      </c>
      <c r="H174" s="798">
        <f t="shared" si="20"/>
        <v>1.1399999999999999</v>
      </c>
      <c r="I174" s="257">
        <v>1000</v>
      </c>
      <c r="J174" s="709">
        <f t="shared" si="17"/>
        <v>1140</v>
      </c>
      <c r="K174" s="709">
        <f t="shared" si="19"/>
        <v>9510.9549628362711</v>
      </c>
      <c r="L174" s="626">
        <v>12420</v>
      </c>
      <c r="M174" s="723"/>
      <c r="O174" s="704"/>
      <c r="P174" s="704"/>
      <c r="Q174" s="704"/>
      <c r="S174" s="704">
        <f t="shared" si="21"/>
        <v>12420000</v>
      </c>
      <c r="T174" s="704">
        <f t="shared" si="22"/>
        <v>9510954.9628362712</v>
      </c>
    </row>
    <row r="175" spans="1:20" ht="16.5" customHeight="1">
      <c r="A175" s="708">
        <f t="shared" si="23"/>
        <v>170</v>
      </c>
      <c r="B175" s="291" t="s">
        <v>675</v>
      </c>
      <c r="C175" s="726">
        <v>42423</v>
      </c>
      <c r="D175" s="727" t="s">
        <v>464</v>
      </c>
      <c r="E175" s="803">
        <v>45</v>
      </c>
      <c r="F175" s="802">
        <v>37</v>
      </c>
      <c r="G175" s="802">
        <v>27.5</v>
      </c>
      <c r="H175" s="798">
        <f t="shared" si="20"/>
        <v>1.1399999999999999</v>
      </c>
      <c r="I175" s="257">
        <v>50</v>
      </c>
      <c r="J175" s="709">
        <f t="shared" si="17"/>
        <v>56.999999999999993</v>
      </c>
      <c r="K175" s="709">
        <f t="shared" si="19"/>
        <v>9510.9549628362711</v>
      </c>
      <c r="L175" s="626">
        <v>12060</v>
      </c>
      <c r="M175" s="723"/>
      <c r="O175" s="704"/>
      <c r="P175" s="704"/>
      <c r="Q175" s="704"/>
      <c r="S175" s="704">
        <f t="shared" si="21"/>
        <v>603000</v>
      </c>
      <c r="T175" s="704">
        <f t="shared" si="22"/>
        <v>475547.74814181356</v>
      </c>
    </row>
    <row r="176" spans="1:20" ht="16.5" customHeight="1">
      <c r="A176" s="708">
        <f t="shared" si="23"/>
        <v>171</v>
      </c>
      <c r="B176" s="291" t="s">
        <v>723</v>
      </c>
      <c r="C176" s="726">
        <v>42423</v>
      </c>
      <c r="D176" s="727" t="s">
        <v>464</v>
      </c>
      <c r="E176" s="803">
        <v>44</v>
      </c>
      <c r="F176" s="802">
        <v>20</v>
      </c>
      <c r="G176" s="802"/>
      <c r="H176" s="798">
        <f t="shared" si="20"/>
        <v>0.09</v>
      </c>
      <c r="I176" s="257">
        <v>2100</v>
      </c>
      <c r="J176" s="709">
        <f t="shared" si="17"/>
        <v>189</v>
      </c>
      <c r="K176" s="709">
        <f t="shared" si="19"/>
        <v>750.8648654870741</v>
      </c>
      <c r="L176" s="626">
        <v>1182</v>
      </c>
      <c r="M176" s="723"/>
      <c r="O176" s="704"/>
      <c r="P176" s="704"/>
      <c r="Q176" s="704"/>
      <c r="S176" s="704">
        <f t="shared" si="21"/>
        <v>2482200</v>
      </c>
      <c r="T176" s="704">
        <f t="shared" si="22"/>
        <v>1576816.2175228556</v>
      </c>
    </row>
    <row r="177" spans="1:20" ht="16.5" customHeight="1">
      <c r="A177" s="708">
        <f t="shared" si="23"/>
        <v>172</v>
      </c>
      <c r="B177" s="291" t="s">
        <v>960</v>
      </c>
      <c r="C177" s="726">
        <v>42424</v>
      </c>
      <c r="D177" s="727" t="s">
        <v>465</v>
      </c>
      <c r="E177" s="803">
        <v>60</v>
      </c>
      <c r="F177" s="802">
        <v>56</v>
      </c>
      <c r="G177" s="802">
        <v>30</v>
      </c>
      <c r="H177" s="798">
        <f t="shared" si="20"/>
        <v>2.11</v>
      </c>
      <c r="I177" s="257">
        <v>500</v>
      </c>
      <c r="J177" s="709">
        <f t="shared" si="17"/>
        <v>1055</v>
      </c>
      <c r="K177" s="709">
        <f t="shared" si="19"/>
        <v>17603.609624196957</v>
      </c>
      <c r="L177" s="626">
        <v>22000</v>
      </c>
      <c r="M177" s="723"/>
      <c r="O177" s="704"/>
      <c r="P177" s="704"/>
      <c r="Q177" s="704"/>
      <c r="S177" s="704">
        <f t="shared" si="21"/>
        <v>11000000</v>
      </c>
      <c r="T177" s="704">
        <f t="shared" si="22"/>
        <v>8801804.8120984789</v>
      </c>
    </row>
    <row r="178" spans="1:20" ht="16.5" customHeight="1">
      <c r="A178" s="708">
        <f t="shared" si="23"/>
        <v>173</v>
      </c>
      <c r="B178" s="291" t="s">
        <v>658</v>
      </c>
      <c r="C178" s="726">
        <v>42424</v>
      </c>
      <c r="D178" s="727" t="s">
        <v>467</v>
      </c>
      <c r="E178" s="803">
        <v>58</v>
      </c>
      <c r="F178" s="802">
        <v>57</v>
      </c>
      <c r="G178" s="802">
        <v>61</v>
      </c>
      <c r="H178" s="798">
        <f t="shared" si="20"/>
        <v>2.84</v>
      </c>
      <c r="I178" s="257">
        <v>61</v>
      </c>
      <c r="J178" s="709">
        <f t="shared" si="17"/>
        <v>173.23999999999998</v>
      </c>
      <c r="K178" s="709">
        <f t="shared" si="19"/>
        <v>23693.957977592116</v>
      </c>
      <c r="L178" s="626">
        <v>28000</v>
      </c>
      <c r="M178" s="723"/>
      <c r="O178" s="704"/>
      <c r="P178" s="704"/>
      <c r="Q178" s="704"/>
      <c r="S178" s="704">
        <f t="shared" si="21"/>
        <v>1708000</v>
      </c>
      <c r="T178" s="704">
        <f t="shared" si="22"/>
        <v>1445331.4366331191</v>
      </c>
    </row>
    <row r="179" spans="1:20" ht="16.5" customHeight="1">
      <c r="A179" s="708">
        <f t="shared" si="23"/>
        <v>174</v>
      </c>
      <c r="B179" s="291" t="s">
        <v>448</v>
      </c>
      <c r="C179" s="726">
        <v>42424</v>
      </c>
      <c r="D179" s="727" t="s">
        <v>467</v>
      </c>
      <c r="E179" s="803">
        <v>103</v>
      </c>
      <c r="F179" s="802">
        <v>50</v>
      </c>
      <c r="G179" s="802">
        <v>180</v>
      </c>
      <c r="H179" s="798">
        <f t="shared" si="20"/>
        <v>7.25</v>
      </c>
      <c r="I179" s="257">
        <v>147</v>
      </c>
      <c r="J179" s="709">
        <f t="shared" si="17"/>
        <v>1065.75</v>
      </c>
      <c r="K179" s="709">
        <f t="shared" si="19"/>
        <v>60486.336386458745</v>
      </c>
      <c r="L179" s="626">
        <v>47449</v>
      </c>
      <c r="M179" s="723"/>
      <c r="O179" s="704"/>
      <c r="P179" s="704"/>
      <c r="Q179" s="704"/>
      <c r="S179" s="704">
        <f t="shared" si="21"/>
        <v>6975003</v>
      </c>
      <c r="T179" s="704">
        <f t="shared" si="22"/>
        <v>8891491.4488094356</v>
      </c>
    </row>
    <row r="180" spans="1:20" ht="16.5" customHeight="1">
      <c r="A180" s="708">
        <f t="shared" si="23"/>
        <v>175</v>
      </c>
      <c r="B180" s="291" t="s">
        <v>943</v>
      </c>
      <c r="C180" s="726">
        <v>42424</v>
      </c>
      <c r="D180" s="727" t="s">
        <v>467</v>
      </c>
      <c r="E180" s="803">
        <v>103</v>
      </c>
      <c r="F180" s="802">
        <v>54</v>
      </c>
      <c r="G180" s="802">
        <v>180</v>
      </c>
      <c r="H180" s="798">
        <f t="shared" si="20"/>
        <v>7.56</v>
      </c>
      <c r="I180" s="257">
        <v>51</v>
      </c>
      <c r="J180" s="709">
        <f t="shared" si="17"/>
        <v>385.56</v>
      </c>
      <c r="K180" s="709">
        <f t="shared" si="19"/>
        <v>63072.648700914222</v>
      </c>
      <c r="L180" s="626">
        <v>73100</v>
      </c>
      <c r="M180" s="723"/>
      <c r="O180" s="704"/>
      <c r="P180" s="704"/>
      <c r="Q180" s="704"/>
      <c r="S180" s="704">
        <f t="shared" si="21"/>
        <v>3728100</v>
      </c>
      <c r="T180" s="704">
        <f t="shared" si="22"/>
        <v>3216705.0837466251</v>
      </c>
    </row>
    <row r="181" spans="1:20" ht="16.5" customHeight="1">
      <c r="A181" s="708">
        <f t="shared" si="23"/>
        <v>176</v>
      </c>
      <c r="B181" s="291" t="s">
        <v>546</v>
      </c>
      <c r="C181" s="726">
        <v>42424</v>
      </c>
      <c r="D181" s="727" t="s">
        <v>469</v>
      </c>
      <c r="E181" s="803">
        <v>95</v>
      </c>
      <c r="F181" s="802">
        <v>138</v>
      </c>
      <c r="G181" s="802"/>
      <c r="H181" s="798">
        <f t="shared" si="20"/>
        <v>1.31</v>
      </c>
      <c r="I181" s="257">
        <v>200</v>
      </c>
      <c r="J181" s="709">
        <f t="shared" si="17"/>
        <v>262</v>
      </c>
      <c r="K181" s="709">
        <f t="shared" si="19"/>
        <v>10929.255264311856</v>
      </c>
      <c r="L181" s="626">
        <v>11930</v>
      </c>
      <c r="M181" s="723"/>
      <c r="O181" s="704"/>
      <c r="P181" s="704"/>
      <c r="Q181" s="704"/>
      <c r="S181" s="704">
        <f t="shared" si="21"/>
        <v>2386000</v>
      </c>
      <c r="T181" s="704">
        <f t="shared" si="22"/>
        <v>2185851.0528623713</v>
      </c>
    </row>
    <row r="182" spans="1:20" ht="16.5" customHeight="1">
      <c r="A182" s="708">
        <f t="shared" si="23"/>
        <v>177</v>
      </c>
      <c r="B182" s="291" t="s">
        <v>1260</v>
      </c>
      <c r="C182" s="726">
        <v>42424</v>
      </c>
      <c r="D182" s="727" t="s">
        <v>469</v>
      </c>
      <c r="E182" s="803">
        <v>135</v>
      </c>
      <c r="F182" s="802">
        <v>113</v>
      </c>
      <c r="G182" s="802"/>
      <c r="H182" s="798">
        <f t="shared" si="20"/>
        <v>1.53</v>
      </c>
      <c r="I182" s="257">
        <v>40</v>
      </c>
      <c r="J182" s="709">
        <f t="shared" si="17"/>
        <v>61.2</v>
      </c>
      <c r="K182" s="709">
        <f t="shared" si="19"/>
        <v>12764.70271328026</v>
      </c>
      <c r="L182" s="626">
        <v>13882</v>
      </c>
      <c r="M182" s="723"/>
      <c r="O182" s="704"/>
      <c r="P182" s="704"/>
      <c r="Q182" s="704"/>
      <c r="S182" s="704">
        <f t="shared" si="21"/>
        <v>555280</v>
      </c>
      <c r="T182" s="704">
        <f t="shared" si="22"/>
        <v>510588.1085312104</v>
      </c>
    </row>
    <row r="183" spans="1:20" ht="16.5" customHeight="1">
      <c r="A183" s="708">
        <f t="shared" si="23"/>
        <v>178</v>
      </c>
      <c r="B183" s="291" t="s">
        <v>727</v>
      </c>
      <c r="C183" s="726">
        <v>42424</v>
      </c>
      <c r="D183" s="727" t="s">
        <v>469</v>
      </c>
      <c r="E183" s="803">
        <v>110</v>
      </c>
      <c r="F183" s="802">
        <v>156</v>
      </c>
      <c r="G183" s="802"/>
      <c r="H183" s="798">
        <f t="shared" si="20"/>
        <v>1.72</v>
      </c>
      <c r="I183" s="257">
        <v>5</v>
      </c>
      <c r="J183" s="709">
        <f t="shared" ref="J183:J246" si="24">H183*I183</f>
        <v>8.6</v>
      </c>
      <c r="K183" s="709">
        <f t="shared" si="19"/>
        <v>14349.86187375297</v>
      </c>
      <c r="L183" s="626">
        <v>15616</v>
      </c>
      <c r="M183" s="723"/>
      <c r="O183" s="704"/>
      <c r="P183" s="704"/>
      <c r="Q183" s="704"/>
      <c r="S183" s="704">
        <f t="shared" si="21"/>
        <v>78080</v>
      </c>
      <c r="T183" s="704">
        <f t="shared" si="22"/>
        <v>71749.309368764851</v>
      </c>
    </row>
    <row r="184" spans="1:20" ht="16.5" customHeight="1">
      <c r="A184" s="708">
        <f t="shared" si="23"/>
        <v>179</v>
      </c>
      <c r="B184" s="291" t="s">
        <v>725</v>
      </c>
      <c r="C184" s="726">
        <v>42424</v>
      </c>
      <c r="D184" s="727" t="s">
        <v>469</v>
      </c>
      <c r="E184" s="803">
        <v>105</v>
      </c>
      <c r="F184" s="802">
        <v>158</v>
      </c>
      <c r="G184" s="802"/>
      <c r="H184" s="798">
        <f t="shared" si="20"/>
        <v>1.66</v>
      </c>
      <c r="I184" s="257">
        <v>30</v>
      </c>
      <c r="J184" s="709">
        <f t="shared" si="24"/>
        <v>49.8</v>
      </c>
      <c r="K184" s="709">
        <f t="shared" si="19"/>
        <v>13849.285296761587</v>
      </c>
      <c r="L184" s="626">
        <v>15097</v>
      </c>
      <c r="M184" s="723"/>
      <c r="O184" s="704"/>
      <c r="P184" s="704"/>
      <c r="Q184" s="704"/>
      <c r="S184" s="704">
        <f t="shared" si="21"/>
        <v>452910</v>
      </c>
      <c r="T184" s="704">
        <f t="shared" si="22"/>
        <v>415478.55890284764</v>
      </c>
    </row>
    <row r="185" spans="1:20" ht="16.5" customHeight="1">
      <c r="A185" s="708">
        <f t="shared" si="23"/>
        <v>180</v>
      </c>
      <c r="B185" s="291" t="s">
        <v>744</v>
      </c>
      <c r="C185" s="726">
        <v>42424</v>
      </c>
      <c r="D185" s="727" t="s">
        <v>469</v>
      </c>
      <c r="E185" s="803">
        <v>105</v>
      </c>
      <c r="F185" s="802">
        <v>93</v>
      </c>
      <c r="G185" s="802"/>
      <c r="H185" s="798">
        <f t="shared" si="20"/>
        <v>0.98</v>
      </c>
      <c r="I185" s="257">
        <v>550</v>
      </c>
      <c r="J185" s="709">
        <f t="shared" si="24"/>
        <v>539</v>
      </c>
      <c r="K185" s="709">
        <f t="shared" si="19"/>
        <v>8176.0840908592509</v>
      </c>
      <c r="L185" s="626">
        <v>5273</v>
      </c>
      <c r="M185" s="723"/>
      <c r="O185" s="704"/>
      <c r="P185" s="704"/>
      <c r="Q185" s="704"/>
      <c r="S185" s="704">
        <f t="shared" si="21"/>
        <v>2900150</v>
      </c>
      <c r="T185" s="704">
        <f t="shared" si="22"/>
        <v>4496846.2499725884</v>
      </c>
    </row>
    <row r="186" spans="1:20" ht="16.5" customHeight="1">
      <c r="A186" s="708">
        <f t="shared" si="23"/>
        <v>181</v>
      </c>
      <c r="B186" s="291" t="s">
        <v>548</v>
      </c>
      <c r="C186" s="726">
        <v>42424</v>
      </c>
      <c r="D186" s="727" t="s">
        <v>469</v>
      </c>
      <c r="E186" s="803">
        <v>105</v>
      </c>
      <c r="F186" s="802">
        <v>140</v>
      </c>
      <c r="G186" s="802"/>
      <c r="H186" s="798">
        <f t="shared" si="20"/>
        <v>1.47</v>
      </c>
      <c r="I186" s="257">
        <v>45</v>
      </c>
      <c r="J186" s="709">
        <f t="shared" si="24"/>
        <v>66.150000000000006</v>
      </c>
      <c r="K186" s="709">
        <f t="shared" si="19"/>
        <v>12264.126136288876</v>
      </c>
      <c r="L186" s="626">
        <v>13377</v>
      </c>
      <c r="M186" s="723"/>
      <c r="O186" s="704"/>
      <c r="P186" s="704"/>
      <c r="Q186" s="704"/>
      <c r="S186" s="704">
        <f t="shared" si="21"/>
        <v>601965</v>
      </c>
      <c r="T186" s="704">
        <f t="shared" si="22"/>
        <v>551885.67613299948</v>
      </c>
    </row>
    <row r="187" spans="1:20" ht="16.5" customHeight="1">
      <c r="A187" s="708">
        <f t="shared" si="23"/>
        <v>182</v>
      </c>
      <c r="B187" s="291" t="s">
        <v>961</v>
      </c>
      <c r="C187" s="726">
        <v>42425</v>
      </c>
      <c r="D187" s="727" t="s">
        <v>470</v>
      </c>
      <c r="E187" s="803">
        <v>39</v>
      </c>
      <c r="F187" s="802">
        <v>29</v>
      </c>
      <c r="G187" s="802">
        <v>27</v>
      </c>
      <c r="H187" s="798">
        <f t="shared" si="20"/>
        <v>0.83</v>
      </c>
      <c r="I187" s="257">
        <v>110</v>
      </c>
      <c r="J187" s="709">
        <f t="shared" si="24"/>
        <v>91.3</v>
      </c>
      <c r="K187" s="709">
        <f t="shared" si="19"/>
        <v>6924.6426483807936</v>
      </c>
      <c r="L187" s="626">
        <v>6300</v>
      </c>
      <c r="M187" s="723"/>
      <c r="O187" s="704"/>
      <c r="P187" s="704"/>
      <c r="Q187" s="704"/>
      <c r="S187" s="704">
        <f t="shared" si="21"/>
        <v>693000</v>
      </c>
      <c r="T187" s="704">
        <f t="shared" si="22"/>
        <v>761710.69132188731</v>
      </c>
    </row>
    <row r="188" spans="1:20" ht="16.5" customHeight="1">
      <c r="A188" s="708">
        <f t="shared" si="23"/>
        <v>183</v>
      </c>
      <c r="B188" s="291" t="s">
        <v>510</v>
      </c>
      <c r="C188" s="726">
        <v>42425</v>
      </c>
      <c r="D188" s="727" t="s">
        <v>470</v>
      </c>
      <c r="E188" s="803">
        <v>47</v>
      </c>
      <c r="F188" s="802">
        <v>42</v>
      </c>
      <c r="G188" s="802">
        <v>24.5</v>
      </c>
      <c r="H188" s="798">
        <f t="shared" si="20"/>
        <v>1.27</v>
      </c>
      <c r="I188" s="257">
        <v>1172</v>
      </c>
      <c r="J188" s="709">
        <f t="shared" si="24"/>
        <v>1488.44</v>
      </c>
      <c r="K188" s="709">
        <f t="shared" si="19"/>
        <v>10595.537546317601</v>
      </c>
      <c r="L188" s="626">
        <v>9150</v>
      </c>
      <c r="M188" s="723"/>
      <c r="O188" s="704"/>
      <c r="P188" s="704"/>
      <c r="Q188" s="704"/>
      <c r="S188" s="704">
        <f t="shared" si="21"/>
        <v>10723800</v>
      </c>
      <c r="T188" s="704">
        <f t="shared" si="22"/>
        <v>12417970.004284227</v>
      </c>
    </row>
    <row r="189" spans="1:20" ht="16.5" customHeight="1">
      <c r="A189" s="708">
        <f t="shared" ref="A189:A220" si="25">IF(B187&lt;&gt;"",A188+1,"")</f>
        <v>184</v>
      </c>
      <c r="B189" s="291" t="s">
        <v>947</v>
      </c>
      <c r="C189" s="726">
        <v>42425</v>
      </c>
      <c r="D189" s="727" t="s">
        <v>470</v>
      </c>
      <c r="E189" s="803">
        <v>48</v>
      </c>
      <c r="F189" s="802">
        <v>41</v>
      </c>
      <c r="G189" s="802">
        <v>28</v>
      </c>
      <c r="H189" s="798">
        <f t="shared" si="20"/>
        <v>1.32</v>
      </c>
      <c r="I189" s="257">
        <v>110</v>
      </c>
      <c r="J189" s="709">
        <f t="shared" si="24"/>
        <v>145.20000000000002</v>
      </c>
      <c r="K189" s="709">
        <f t="shared" si="19"/>
        <v>11012.684693810421</v>
      </c>
      <c r="L189" s="626">
        <v>9600</v>
      </c>
      <c r="M189" s="723"/>
      <c r="O189" s="704"/>
      <c r="P189" s="704"/>
      <c r="Q189" s="704"/>
      <c r="S189" s="704">
        <f t="shared" si="21"/>
        <v>1056000</v>
      </c>
      <c r="T189" s="704">
        <f t="shared" si="22"/>
        <v>1211395.3163191462</v>
      </c>
    </row>
    <row r="190" spans="1:20" ht="16.5" customHeight="1">
      <c r="A190" s="708">
        <f t="shared" si="25"/>
        <v>185</v>
      </c>
      <c r="B190" s="291" t="s">
        <v>962</v>
      </c>
      <c r="C190" s="726">
        <v>42425</v>
      </c>
      <c r="D190" s="727" t="s">
        <v>470</v>
      </c>
      <c r="E190" s="803">
        <v>61</v>
      </c>
      <c r="F190" s="802">
        <v>42</v>
      </c>
      <c r="G190" s="802">
        <v>29</v>
      </c>
      <c r="H190" s="798">
        <f t="shared" si="20"/>
        <v>1.56</v>
      </c>
      <c r="I190" s="257">
        <v>110</v>
      </c>
      <c r="J190" s="709">
        <f t="shared" si="24"/>
        <v>171.6</v>
      </c>
      <c r="K190" s="709">
        <f t="shared" si="19"/>
        <v>13014.99100177595</v>
      </c>
      <c r="L190" s="626">
        <v>16900</v>
      </c>
      <c r="M190" s="723"/>
      <c r="O190" s="704"/>
      <c r="P190" s="704"/>
      <c r="Q190" s="704"/>
      <c r="S190" s="704">
        <f t="shared" si="21"/>
        <v>1859000</v>
      </c>
      <c r="T190" s="704">
        <f t="shared" si="22"/>
        <v>1431649.0101953545</v>
      </c>
    </row>
    <row r="191" spans="1:20" ht="16.5" customHeight="1">
      <c r="A191" s="708">
        <f t="shared" si="25"/>
        <v>186</v>
      </c>
      <c r="B191" s="291" t="s">
        <v>728</v>
      </c>
      <c r="C191" s="726">
        <v>42425</v>
      </c>
      <c r="D191" s="727" t="s">
        <v>472</v>
      </c>
      <c r="E191" s="803">
        <v>105</v>
      </c>
      <c r="F191" s="802">
        <v>126</v>
      </c>
      <c r="G191" s="802"/>
      <c r="H191" s="798">
        <f t="shared" si="20"/>
        <v>1.32</v>
      </c>
      <c r="I191" s="257">
        <v>20</v>
      </c>
      <c r="J191" s="709">
        <f t="shared" si="24"/>
        <v>26.400000000000002</v>
      </c>
      <c r="K191" s="709">
        <f t="shared" si="19"/>
        <v>11012.684693810421</v>
      </c>
      <c r="L191" s="626">
        <v>12039</v>
      </c>
      <c r="M191" s="723"/>
      <c r="O191" s="704"/>
      <c r="P191" s="704"/>
      <c r="Q191" s="704"/>
      <c r="S191" s="704">
        <f t="shared" si="21"/>
        <v>240780</v>
      </c>
      <c r="T191" s="704">
        <f t="shared" si="22"/>
        <v>220253.69387620842</v>
      </c>
    </row>
    <row r="192" spans="1:20" ht="16.5" customHeight="1">
      <c r="A192" s="708">
        <f t="shared" si="25"/>
        <v>187</v>
      </c>
      <c r="B192" s="291" t="s">
        <v>726</v>
      </c>
      <c r="C192" s="726">
        <v>42425</v>
      </c>
      <c r="D192" s="727" t="s">
        <v>472</v>
      </c>
      <c r="E192" s="803">
        <v>85</v>
      </c>
      <c r="F192" s="802">
        <v>107</v>
      </c>
      <c r="G192" s="802"/>
      <c r="H192" s="798">
        <f t="shared" si="20"/>
        <v>0.91</v>
      </c>
      <c r="I192" s="257">
        <v>40</v>
      </c>
      <c r="J192" s="709">
        <f t="shared" si="24"/>
        <v>36.4</v>
      </c>
      <c r="K192" s="709">
        <f t="shared" si="19"/>
        <v>7592.0780843693046</v>
      </c>
      <c r="L192" s="626">
        <v>8276</v>
      </c>
      <c r="M192" s="723"/>
      <c r="O192" s="704"/>
      <c r="P192" s="704"/>
      <c r="Q192" s="704"/>
      <c r="S192" s="704">
        <f t="shared" si="21"/>
        <v>331040</v>
      </c>
      <c r="T192" s="704">
        <f t="shared" si="22"/>
        <v>303683.1233747722</v>
      </c>
    </row>
    <row r="193" spans="1:20" ht="16.5" customHeight="1">
      <c r="A193" s="708">
        <f t="shared" si="25"/>
        <v>188</v>
      </c>
      <c r="B193" s="291" t="s">
        <v>560</v>
      </c>
      <c r="C193" s="726">
        <v>42425</v>
      </c>
      <c r="D193" s="727" t="s">
        <v>472</v>
      </c>
      <c r="E193" s="803">
        <v>85</v>
      </c>
      <c r="F193" s="802">
        <v>116</v>
      </c>
      <c r="G193" s="802"/>
      <c r="H193" s="798">
        <f t="shared" si="20"/>
        <v>0.99</v>
      </c>
      <c r="I193" s="257">
        <v>100</v>
      </c>
      <c r="J193" s="709">
        <f t="shared" si="24"/>
        <v>99</v>
      </c>
      <c r="K193" s="709">
        <f t="shared" si="19"/>
        <v>8259.5135203578157</v>
      </c>
      <c r="L193" s="626">
        <v>8973</v>
      </c>
      <c r="M193" s="723"/>
      <c r="O193" s="704"/>
      <c r="P193" s="704"/>
      <c r="Q193" s="704"/>
      <c r="S193" s="704">
        <f t="shared" si="21"/>
        <v>897300</v>
      </c>
      <c r="T193" s="704">
        <f t="shared" si="22"/>
        <v>825951.3520357816</v>
      </c>
    </row>
    <row r="194" spans="1:20" ht="16.5" customHeight="1">
      <c r="A194" s="708">
        <f t="shared" si="25"/>
        <v>189</v>
      </c>
      <c r="B194" s="291" t="s">
        <v>547</v>
      </c>
      <c r="C194" s="726">
        <v>42425</v>
      </c>
      <c r="D194" s="727" t="s">
        <v>472</v>
      </c>
      <c r="E194" s="803">
        <v>105</v>
      </c>
      <c r="F194" s="802">
        <v>170</v>
      </c>
      <c r="G194" s="802"/>
      <c r="H194" s="798">
        <f t="shared" si="20"/>
        <v>1.79</v>
      </c>
      <c r="I194" s="257">
        <v>60</v>
      </c>
      <c r="J194" s="709">
        <f t="shared" si="24"/>
        <v>107.4</v>
      </c>
      <c r="K194" s="709">
        <f t="shared" si="19"/>
        <v>14933.867880242919</v>
      </c>
      <c r="L194" s="626">
        <v>16244</v>
      </c>
      <c r="M194" s="723"/>
      <c r="O194" s="704"/>
      <c r="P194" s="704"/>
      <c r="Q194" s="704"/>
      <c r="S194" s="704">
        <f t="shared" si="21"/>
        <v>974640</v>
      </c>
      <c r="T194" s="704">
        <f t="shared" si="22"/>
        <v>896032.07281457516</v>
      </c>
    </row>
    <row r="195" spans="1:20" ht="16.5" customHeight="1">
      <c r="A195" s="708">
        <f t="shared" si="25"/>
        <v>190</v>
      </c>
      <c r="B195" s="291" t="s">
        <v>734</v>
      </c>
      <c r="C195" s="726">
        <v>42425</v>
      </c>
      <c r="D195" s="727" t="s">
        <v>472</v>
      </c>
      <c r="E195" s="803">
        <v>110</v>
      </c>
      <c r="F195" s="802">
        <v>144</v>
      </c>
      <c r="G195" s="802"/>
      <c r="H195" s="798">
        <f t="shared" si="20"/>
        <v>1.58</v>
      </c>
      <c r="I195" s="257">
        <v>45</v>
      </c>
      <c r="J195" s="709">
        <f t="shared" si="24"/>
        <v>71.100000000000009</v>
      </c>
      <c r="K195" s="709">
        <f t="shared" si="19"/>
        <v>13181.849860773078</v>
      </c>
      <c r="L195" s="626">
        <v>14414</v>
      </c>
      <c r="M195" s="723"/>
      <c r="O195" s="704"/>
      <c r="P195" s="704"/>
      <c r="Q195" s="704"/>
      <c r="S195" s="704">
        <f t="shared" si="21"/>
        <v>648630</v>
      </c>
      <c r="T195" s="704">
        <f t="shared" si="22"/>
        <v>593183.2437347885</v>
      </c>
    </row>
    <row r="196" spans="1:20" ht="16.5" customHeight="1">
      <c r="A196" s="708">
        <f t="shared" si="25"/>
        <v>191</v>
      </c>
      <c r="B196" s="291" t="s">
        <v>547</v>
      </c>
      <c r="C196" s="726">
        <v>42425</v>
      </c>
      <c r="D196" s="727" t="s">
        <v>472</v>
      </c>
      <c r="E196" s="803">
        <v>105</v>
      </c>
      <c r="F196" s="802">
        <v>170</v>
      </c>
      <c r="G196" s="802"/>
      <c r="H196" s="798">
        <f t="shared" si="20"/>
        <v>1.79</v>
      </c>
      <c r="I196" s="257">
        <v>15</v>
      </c>
      <c r="J196" s="709">
        <f t="shared" si="24"/>
        <v>26.85</v>
      </c>
      <c r="K196" s="709">
        <f t="shared" si="19"/>
        <v>14933.867880242919</v>
      </c>
      <c r="L196" s="626">
        <v>16244</v>
      </c>
      <c r="M196" s="723"/>
      <c r="O196" s="704"/>
      <c r="P196" s="704"/>
      <c r="Q196" s="704"/>
      <c r="S196" s="704">
        <f t="shared" si="21"/>
        <v>243660</v>
      </c>
      <c r="T196" s="704">
        <f t="shared" si="22"/>
        <v>224008.01820364379</v>
      </c>
    </row>
    <row r="197" spans="1:20" ht="16.5" customHeight="1">
      <c r="A197" s="708">
        <f t="shared" si="25"/>
        <v>192</v>
      </c>
      <c r="B197" s="291" t="s">
        <v>737</v>
      </c>
      <c r="C197" s="726">
        <v>42425</v>
      </c>
      <c r="D197" s="727" t="s">
        <v>472</v>
      </c>
      <c r="E197" s="803">
        <v>100</v>
      </c>
      <c r="F197" s="802">
        <v>156</v>
      </c>
      <c r="G197" s="802"/>
      <c r="H197" s="798">
        <f t="shared" si="20"/>
        <v>1.56</v>
      </c>
      <c r="I197" s="257">
        <v>10</v>
      </c>
      <c r="J197" s="709">
        <f t="shared" si="24"/>
        <v>15.600000000000001</v>
      </c>
      <c r="K197" s="709">
        <f t="shared" si="19"/>
        <v>13014.99100177595</v>
      </c>
      <c r="L197" s="626">
        <v>14196</v>
      </c>
      <c r="M197" s="723"/>
      <c r="O197" s="704"/>
      <c r="P197" s="704"/>
      <c r="Q197" s="704"/>
      <c r="S197" s="704">
        <f t="shared" si="21"/>
        <v>141960</v>
      </c>
      <c r="T197" s="704">
        <f t="shared" si="22"/>
        <v>130149.91001775951</v>
      </c>
    </row>
    <row r="198" spans="1:20" ht="16.5" customHeight="1">
      <c r="A198" s="708">
        <f t="shared" si="25"/>
        <v>193</v>
      </c>
      <c r="B198" s="291" t="s">
        <v>729</v>
      </c>
      <c r="C198" s="726">
        <v>42427</v>
      </c>
      <c r="D198" s="727" t="s">
        <v>963</v>
      </c>
      <c r="E198" s="803">
        <v>85</v>
      </c>
      <c r="F198" s="802">
        <v>130</v>
      </c>
      <c r="G198" s="802"/>
      <c r="H198" s="798">
        <f t="shared" si="20"/>
        <v>1.1100000000000001</v>
      </c>
      <c r="I198" s="257">
        <v>40</v>
      </c>
      <c r="J198" s="709">
        <f t="shared" si="24"/>
        <v>44.400000000000006</v>
      </c>
      <c r="K198" s="709">
        <f t="shared" ref="K198:K261" si="26">H198*$R$43</f>
        <v>9260.6666743405804</v>
      </c>
      <c r="L198" s="626">
        <v>10056</v>
      </c>
      <c r="M198" s="723"/>
      <c r="O198" s="704"/>
      <c r="P198" s="704"/>
      <c r="Q198" s="704"/>
      <c r="S198" s="704">
        <f t="shared" si="21"/>
        <v>402240</v>
      </c>
      <c r="T198" s="704">
        <f t="shared" si="22"/>
        <v>370426.66697362321</v>
      </c>
    </row>
    <row r="199" spans="1:20" ht="16.5" customHeight="1">
      <c r="A199" s="708">
        <f t="shared" si="25"/>
        <v>194</v>
      </c>
      <c r="B199" s="291" t="s">
        <v>738</v>
      </c>
      <c r="C199" s="726">
        <v>42427</v>
      </c>
      <c r="D199" s="727" t="s">
        <v>963</v>
      </c>
      <c r="E199" s="803">
        <v>80</v>
      </c>
      <c r="F199" s="802">
        <v>182</v>
      </c>
      <c r="G199" s="802"/>
      <c r="H199" s="798">
        <f t="shared" ref="H199:H262" si="27">IF(G199&lt;&gt;"",ROUND(((E199+F199)*2+5)*(F199+G199+3)/10000,2),ROUND(E199*F199/10000,2))</f>
        <v>1.46</v>
      </c>
      <c r="I199" s="257">
        <v>20</v>
      </c>
      <c r="J199" s="709">
        <f t="shared" si="24"/>
        <v>29.2</v>
      </c>
      <c r="K199" s="709">
        <f t="shared" si="26"/>
        <v>12180.696706790313</v>
      </c>
      <c r="L199" s="626">
        <v>13250</v>
      </c>
      <c r="M199" s="723"/>
      <c r="O199" s="704"/>
      <c r="P199" s="704"/>
      <c r="Q199" s="704"/>
      <c r="S199" s="704">
        <f t="shared" ref="S199:S262" si="28">I199*L199</f>
        <v>265000</v>
      </c>
      <c r="T199" s="704">
        <f t="shared" ref="T199:T262" si="29">I199*K199</f>
        <v>243613.93413580628</v>
      </c>
    </row>
    <row r="200" spans="1:20" ht="16.5" customHeight="1">
      <c r="A200" s="708">
        <f t="shared" si="25"/>
        <v>195</v>
      </c>
      <c r="B200" s="291" t="s">
        <v>727</v>
      </c>
      <c r="C200" s="726">
        <v>42427</v>
      </c>
      <c r="D200" s="727" t="s">
        <v>963</v>
      </c>
      <c r="E200" s="803">
        <v>110</v>
      </c>
      <c r="F200" s="802">
        <v>156</v>
      </c>
      <c r="G200" s="802"/>
      <c r="H200" s="798">
        <f t="shared" si="27"/>
        <v>1.72</v>
      </c>
      <c r="I200" s="257">
        <v>10</v>
      </c>
      <c r="J200" s="709">
        <f t="shared" si="24"/>
        <v>17.2</v>
      </c>
      <c r="K200" s="709">
        <f t="shared" si="26"/>
        <v>14349.86187375297</v>
      </c>
      <c r="L200" s="626">
        <v>15616</v>
      </c>
      <c r="M200" s="723"/>
      <c r="O200" s="704"/>
      <c r="P200" s="704"/>
      <c r="Q200" s="704"/>
      <c r="S200" s="704">
        <f t="shared" si="28"/>
        <v>156160</v>
      </c>
      <c r="T200" s="704">
        <f t="shared" si="29"/>
        <v>143498.6187375297</v>
      </c>
    </row>
    <row r="201" spans="1:20" ht="16.5" customHeight="1">
      <c r="A201" s="708">
        <f t="shared" si="25"/>
        <v>196</v>
      </c>
      <c r="B201" s="291" t="s">
        <v>1261</v>
      </c>
      <c r="C201" s="726">
        <v>42427</v>
      </c>
      <c r="D201" s="727" t="s">
        <v>963</v>
      </c>
      <c r="E201" s="803">
        <v>95</v>
      </c>
      <c r="F201" s="802">
        <v>158</v>
      </c>
      <c r="G201" s="802"/>
      <c r="H201" s="798">
        <f t="shared" si="27"/>
        <v>1.5</v>
      </c>
      <c r="I201" s="257">
        <v>15</v>
      </c>
      <c r="J201" s="709">
        <f t="shared" si="24"/>
        <v>22.5</v>
      </c>
      <c r="K201" s="709">
        <f t="shared" si="26"/>
        <v>12514.414424784569</v>
      </c>
      <c r="L201" s="626">
        <v>13659</v>
      </c>
      <c r="M201" s="723"/>
      <c r="O201" s="704"/>
      <c r="P201" s="704"/>
      <c r="Q201" s="704"/>
      <c r="S201" s="704">
        <f t="shared" si="28"/>
        <v>204885</v>
      </c>
      <c r="T201" s="704">
        <f t="shared" si="29"/>
        <v>187716.21637176853</v>
      </c>
    </row>
    <row r="202" spans="1:20" ht="16.5" customHeight="1">
      <c r="A202" s="708">
        <f t="shared" si="25"/>
        <v>197</v>
      </c>
      <c r="B202" s="291" t="s">
        <v>1262</v>
      </c>
      <c r="C202" s="726">
        <v>42427</v>
      </c>
      <c r="D202" s="727" t="s">
        <v>963</v>
      </c>
      <c r="E202" s="803">
        <v>115</v>
      </c>
      <c r="F202" s="802">
        <v>194</v>
      </c>
      <c r="G202" s="802"/>
      <c r="H202" s="798">
        <f t="shared" si="27"/>
        <v>2.23</v>
      </c>
      <c r="I202" s="257">
        <v>10</v>
      </c>
      <c r="J202" s="709">
        <f t="shared" si="24"/>
        <v>22.3</v>
      </c>
      <c r="K202" s="709">
        <f t="shared" si="26"/>
        <v>18604.762778179724</v>
      </c>
      <c r="L202" s="626">
        <v>20302</v>
      </c>
      <c r="M202" s="723"/>
      <c r="O202" s="704"/>
      <c r="P202" s="704"/>
      <c r="Q202" s="704"/>
      <c r="S202" s="704">
        <f t="shared" si="28"/>
        <v>203020</v>
      </c>
      <c r="T202" s="704">
        <f t="shared" si="29"/>
        <v>186047.62778179723</v>
      </c>
    </row>
    <row r="203" spans="1:20" ht="16.5" customHeight="1">
      <c r="A203" s="708">
        <f t="shared" si="25"/>
        <v>198</v>
      </c>
      <c r="B203" s="291" t="s">
        <v>735</v>
      </c>
      <c r="C203" s="726">
        <v>42427</v>
      </c>
      <c r="D203" s="727" t="s">
        <v>963</v>
      </c>
      <c r="E203" s="803">
        <v>115</v>
      </c>
      <c r="F203" s="802">
        <v>196</v>
      </c>
      <c r="G203" s="802"/>
      <c r="H203" s="798">
        <f t="shared" si="27"/>
        <v>2.25</v>
      </c>
      <c r="I203" s="257">
        <v>10</v>
      </c>
      <c r="J203" s="709">
        <f t="shared" si="24"/>
        <v>22.5</v>
      </c>
      <c r="K203" s="709">
        <f t="shared" si="26"/>
        <v>18771.621637176853</v>
      </c>
      <c r="L203" s="626">
        <v>20511</v>
      </c>
      <c r="M203" s="723"/>
      <c r="O203" s="704"/>
      <c r="P203" s="704"/>
      <c r="Q203" s="704"/>
      <c r="S203" s="704">
        <f t="shared" si="28"/>
        <v>205110</v>
      </c>
      <c r="T203" s="704">
        <f t="shared" si="29"/>
        <v>187716.21637176853</v>
      </c>
    </row>
    <row r="204" spans="1:20" ht="16.5" customHeight="1">
      <c r="A204" s="708">
        <f t="shared" si="25"/>
        <v>199</v>
      </c>
      <c r="B204" s="291" t="s">
        <v>1263</v>
      </c>
      <c r="C204" s="726">
        <v>42427</v>
      </c>
      <c r="D204" s="727" t="s">
        <v>963</v>
      </c>
      <c r="E204" s="803">
        <v>80</v>
      </c>
      <c r="F204" s="802">
        <v>194</v>
      </c>
      <c r="G204" s="802"/>
      <c r="H204" s="798">
        <f t="shared" si="27"/>
        <v>1.55</v>
      </c>
      <c r="I204" s="257">
        <v>20</v>
      </c>
      <c r="J204" s="709">
        <f t="shared" si="24"/>
        <v>31</v>
      </c>
      <c r="K204" s="709">
        <f t="shared" si="26"/>
        <v>12931.561572277387</v>
      </c>
      <c r="L204" s="626">
        <v>14123</v>
      </c>
      <c r="M204" s="723"/>
      <c r="O204" s="704"/>
      <c r="P204" s="704"/>
      <c r="Q204" s="704"/>
      <c r="S204" s="704">
        <f t="shared" si="28"/>
        <v>282460</v>
      </c>
      <c r="T204" s="704">
        <f t="shared" si="29"/>
        <v>258631.23144554775</v>
      </c>
    </row>
    <row r="205" spans="1:20" ht="16.5" customHeight="1">
      <c r="A205" s="708">
        <f t="shared" si="25"/>
        <v>200</v>
      </c>
      <c r="B205" s="291" t="s">
        <v>434</v>
      </c>
      <c r="C205" s="726">
        <v>42427</v>
      </c>
      <c r="D205" s="727" t="s">
        <v>473</v>
      </c>
      <c r="E205" s="803">
        <v>46</v>
      </c>
      <c r="F205" s="802">
        <v>42</v>
      </c>
      <c r="G205" s="802">
        <v>13</v>
      </c>
      <c r="H205" s="798">
        <f t="shared" si="27"/>
        <v>1.05</v>
      </c>
      <c r="I205" s="257">
        <v>2900</v>
      </c>
      <c r="J205" s="709">
        <f t="shared" si="24"/>
        <v>3045</v>
      </c>
      <c r="K205" s="709">
        <f t="shared" si="26"/>
        <v>8760.0900973491971</v>
      </c>
      <c r="L205" s="626">
        <v>7000</v>
      </c>
      <c r="M205" s="723"/>
      <c r="O205" s="704"/>
      <c r="P205" s="704"/>
      <c r="Q205" s="704"/>
      <c r="S205" s="704">
        <f t="shared" si="28"/>
        <v>20300000</v>
      </c>
      <c r="T205" s="704">
        <f t="shared" si="29"/>
        <v>25404261.282312673</v>
      </c>
    </row>
    <row r="206" spans="1:20" ht="16.5" customHeight="1">
      <c r="A206" s="708">
        <f t="shared" si="25"/>
        <v>201</v>
      </c>
      <c r="B206" s="291" t="s">
        <v>964</v>
      </c>
      <c r="C206" s="726">
        <v>42427</v>
      </c>
      <c r="D206" s="727" t="s">
        <v>473</v>
      </c>
      <c r="E206" s="803">
        <v>48</v>
      </c>
      <c r="F206" s="802">
        <v>42</v>
      </c>
      <c r="G206" s="802">
        <v>31</v>
      </c>
      <c r="H206" s="798">
        <f t="shared" si="27"/>
        <v>1.41</v>
      </c>
      <c r="I206" s="257">
        <v>240</v>
      </c>
      <c r="J206" s="709">
        <f t="shared" si="24"/>
        <v>338.4</v>
      </c>
      <c r="K206" s="709">
        <f t="shared" si="26"/>
        <v>11763.549559297493</v>
      </c>
      <c r="L206" s="626">
        <v>14200</v>
      </c>
      <c r="M206" s="723"/>
      <c r="O206" s="704"/>
      <c r="P206" s="704"/>
      <c r="Q206" s="704"/>
      <c r="S206" s="704">
        <f t="shared" si="28"/>
        <v>3408000</v>
      </c>
      <c r="T206" s="704">
        <f t="shared" si="29"/>
        <v>2823251.8942313981</v>
      </c>
    </row>
    <row r="207" spans="1:20" ht="16.5" customHeight="1">
      <c r="A207" s="708">
        <f t="shared" si="25"/>
        <v>202</v>
      </c>
      <c r="B207" s="291" t="s">
        <v>965</v>
      </c>
      <c r="C207" s="726">
        <v>42427</v>
      </c>
      <c r="D207" s="727" t="s">
        <v>473</v>
      </c>
      <c r="E207" s="803">
        <v>53</v>
      </c>
      <c r="F207" s="802">
        <v>42</v>
      </c>
      <c r="G207" s="802">
        <v>26</v>
      </c>
      <c r="H207" s="798">
        <f t="shared" si="27"/>
        <v>1.38</v>
      </c>
      <c r="I207" s="257">
        <v>23</v>
      </c>
      <c r="J207" s="709">
        <f t="shared" si="24"/>
        <v>31.74</v>
      </c>
      <c r="K207" s="709">
        <f t="shared" si="26"/>
        <v>11513.261270801802</v>
      </c>
      <c r="L207" s="626">
        <v>9800</v>
      </c>
      <c r="M207" s="723"/>
      <c r="O207" s="704"/>
      <c r="P207" s="704"/>
      <c r="Q207" s="704"/>
      <c r="S207" s="704">
        <f t="shared" si="28"/>
        <v>225400</v>
      </c>
      <c r="T207" s="704">
        <f t="shared" si="29"/>
        <v>264805.00922844146</v>
      </c>
    </row>
    <row r="208" spans="1:20" ht="16.5" customHeight="1">
      <c r="A208" s="708">
        <f t="shared" si="25"/>
        <v>203</v>
      </c>
      <c r="B208" s="291" t="s">
        <v>510</v>
      </c>
      <c r="C208" s="726">
        <v>42427</v>
      </c>
      <c r="D208" s="727" t="s">
        <v>473</v>
      </c>
      <c r="E208" s="803">
        <v>47</v>
      </c>
      <c r="F208" s="802">
        <v>42</v>
      </c>
      <c r="G208" s="802">
        <v>24.5</v>
      </c>
      <c r="H208" s="798">
        <f t="shared" si="27"/>
        <v>1.27</v>
      </c>
      <c r="I208" s="257">
        <v>202</v>
      </c>
      <c r="J208" s="709">
        <f t="shared" si="24"/>
        <v>256.54000000000002</v>
      </c>
      <c r="K208" s="709">
        <f t="shared" si="26"/>
        <v>10595.537546317601</v>
      </c>
      <c r="L208" s="626">
        <v>9100</v>
      </c>
      <c r="M208" s="723"/>
      <c r="O208" s="704"/>
      <c r="P208" s="704"/>
      <c r="Q208" s="704"/>
      <c r="S208" s="704">
        <f t="shared" si="28"/>
        <v>1838200</v>
      </c>
      <c r="T208" s="704">
        <f t="shared" si="29"/>
        <v>2140298.5843561552</v>
      </c>
    </row>
    <row r="209" spans="1:20" ht="16.5" customHeight="1">
      <c r="A209" s="708">
        <f t="shared" si="25"/>
        <v>204</v>
      </c>
      <c r="B209" s="291" t="s">
        <v>570</v>
      </c>
      <c r="C209" s="726">
        <v>42427</v>
      </c>
      <c r="D209" s="727" t="s">
        <v>474</v>
      </c>
      <c r="E209" s="803">
        <v>52</v>
      </c>
      <c r="F209" s="802">
        <v>28</v>
      </c>
      <c r="G209" s="802">
        <v>28</v>
      </c>
      <c r="H209" s="798">
        <f t="shared" si="27"/>
        <v>0.97</v>
      </c>
      <c r="I209" s="257">
        <v>507</v>
      </c>
      <c r="J209" s="709">
        <f t="shared" si="24"/>
        <v>491.78999999999996</v>
      </c>
      <c r="K209" s="709">
        <f t="shared" si="26"/>
        <v>8092.654661360687</v>
      </c>
      <c r="L209" s="626">
        <v>6400</v>
      </c>
      <c r="M209" s="723"/>
      <c r="O209" s="704"/>
      <c r="P209" s="704"/>
      <c r="Q209" s="704"/>
      <c r="S209" s="704">
        <f t="shared" si="28"/>
        <v>3244800</v>
      </c>
      <c r="T209" s="704">
        <f t="shared" si="29"/>
        <v>4102975.9133098684</v>
      </c>
    </row>
    <row r="210" spans="1:20" ht="16.5" customHeight="1">
      <c r="A210" s="708">
        <f t="shared" si="25"/>
        <v>205</v>
      </c>
      <c r="B210" s="291" t="s">
        <v>466</v>
      </c>
      <c r="C210" s="726">
        <v>42429</v>
      </c>
      <c r="D210" s="727" t="s">
        <v>476</v>
      </c>
      <c r="E210" s="803">
        <v>37.5</v>
      </c>
      <c r="F210" s="802">
        <v>25.3</v>
      </c>
      <c r="G210" s="802">
        <v>23.9</v>
      </c>
      <c r="H210" s="798">
        <f t="shared" si="27"/>
        <v>0.68</v>
      </c>
      <c r="I210" s="257">
        <v>344</v>
      </c>
      <c r="J210" s="709">
        <f t="shared" si="24"/>
        <v>233.92000000000002</v>
      </c>
      <c r="K210" s="709">
        <f t="shared" si="26"/>
        <v>5673.2012059023382</v>
      </c>
      <c r="L210" s="626">
        <v>6100</v>
      </c>
      <c r="M210" s="723"/>
      <c r="O210" s="704"/>
      <c r="P210" s="704"/>
      <c r="Q210" s="704"/>
      <c r="S210" s="704">
        <f t="shared" si="28"/>
        <v>2098400</v>
      </c>
      <c r="T210" s="704">
        <f t="shared" si="29"/>
        <v>1951581.2148304044</v>
      </c>
    </row>
    <row r="211" spans="1:20" ht="16.5" customHeight="1">
      <c r="A211" s="708">
        <f t="shared" si="25"/>
        <v>206</v>
      </c>
      <c r="B211" s="291" t="s">
        <v>966</v>
      </c>
      <c r="C211" s="726">
        <v>42429</v>
      </c>
      <c r="D211" s="727" t="s">
        <v>477</v>
      </c>
      <c r="E211" s="803">
        <v>38</v>
      </c>
      <c r="F211" s="802">
        <v>30</v>
      </c>
      <c r="G211" s="802">
        <v>27</v>
      </c>
      <c r="H211" s="798">
        <f t="shared" si="27"/>
        <v>0.85</v>
      </c>
      <c r="I211" s="257">
        <v>204</v>
      </c>
      <c r="J211" s="709">
        <f t="shared" si="24"/>
        <v>173.4</v>
      </c>
      <c r="K211" s="709">
        <f t="shared" si="26"/>
        <v>7091.5015073779214</v>
      </c>
      <c r="L211" s="626">
        <v>10500</v>
      </c>
      <c r="M211" s="723"/>
      <c r="O211" s="704"/>
      <c r="P211" s="704"/>
      <c r="Q211" s="704"/>
      <c r="S211" s="704">
        <f t="shared" si="28"/>
        <v>2142000</v>
      </c>
      <c r="T211" s="704">
        <f t="shared" si="29"/>
        <v>1446666.3075050958</v>
      </c>
    </row>
    <row r="212" spans="1:20" ht="16.5" customHeight="1">
      <c r="A212" s="708">
        <f t="shared" si="25"/>
        <v>207</v>
      </c>
      <c r="B212" s="291" t="s">
        <v>967</v>
      </c>
      <c r="C212" s="726">
        <v>42429</v>
      </c>
      <c r="D212" s="727" t="s">
        <v>477</v>
      </c>
      <c r="E212" s="803">
        <v>36</v>
      </c>
      <c r="F212" s="802">
        <v>34</v>
      </c>
      <c r="G212" s="802">
        <v>18</v>
      </c>
      <c r="H212" s="798">
        <f t="shared" si="27"/>
        <v>0.8</v>
      </c>
      <c r="I212" s="257">
        <v>310</v>
      </c>
      <c r="J212" s="709">
        <f t="shared" si="24"/>
        <v>248</v>
      </c>
      <c r="K212" s="709">
        <f t="shared" si="26"/>
        <v>6674.3543598851029</v>
      </c>
      <c r="L212" s="626">
        <v>9700</v>
      </c>
      <c r="M212" s="723"/>
      <c r="O212" s="704"/>
      <c r="P212" s="704"/>
      <c r="Q212" s="704"/>
      <c r="S212" s="704">
        <f t="shared" si="28"/>
        <v>3007000</v>
      </c>
      <c r="T212" s="704">
        <f t="shared" si="29"/>
        <v>2069049.851564382</v>
      </c>
    </row>
    <row r="213" spans="1:20" ht="16.5" customHeight="1">
      <c r="A213" s="708">
        <f t="shared" si="25"/>
        <v>208</v>
      </c>
      <c r="B213" s="291" t="s">
        <v>1468</v>
      </c>
      <c r="C213" s="726">
        <v>42429</v>
      </c>
      <c r="D213" s="727" t="s">
        <v>968</v>
      </c>
      <c r="E213" s="803">
        <v>29</v>
      </c>
      <c r="F213" s="802">
        <v>18</v>
      </c>
      <c r="G213" s="802">
        <v>18.8</v>
      </c>
      <c r="H213" s="798">
        <f t="shared" si="27"/>
        <v>0.39</v>
      </c>
      <c r="I213" s="257">
        <v>2000</v>
      </c>
      <c r="J213" s="709">
        <f t="shared" si="24"/>
        <v>780</v>
      </c>
      <c r="K213" s="709">
        <f t="shared" si="26"/>
        <v>3253.7477504439876</v>
      </c>
      <c r="L213" s="626">
        <v>5200</v>
      </c>
      <c r="M213" s="723"/>
      <c r="O213" s="704"/>
      <c r="P213" s="704"/>
      <c r="Q213" s="704"/>
      <c r="S213" s="704">
        <f t="shared" si="28"/>
        <v>10400000</v>
      </c>
      <c r="T213" s="704">
        <f t="shared" si="29"/>
        <v>6507495.5008879751</v>
      </c>
    </row>
    <row r="214" spans="1:20" ht="16.5" customHeight="1">
      <c r="A214" s="708">
        <f t="shared" si="25"/>
        <v>209</v>
      </c>
      <c r="B214" s="291" t="s">
        <v>969</v>
      </c>
      <c r="C214" s="726">
        <v>42430</v>
      </c>
      <c r="D214" s="727" t="s">
        <v>479</v>
      </c>
      <c r="E214" s="803">
        <v>53.5</v>
      </c>
      <c r="F214" s="802">
        <v>47</v>
      </c>
      <c r="G214" s="802">
        <v>17.5</v>
      </c>
      <c r="H214" s="798">
        <f t="shared" si="27"/>
        <v>1.39</v>
      </c>
      <c r="I214" s="257">
        <v>1600</v>
      </c>
      <c r="J214" s="709">
        <f t="shared" si="24"/>
        <v>2224</v>
      </c>
      <c r="K214" s="709">
        <f t="shared" si="26"/>
        <v>11596.690700300365</v>
      </c>
      <c r="L214" s="626">
        <v>14000</v>
      </c>
      <c r="M214" s="723"/>
      <c r="O214" s="704"/>
      <c r="P214" s="704"/>
      <c r="Q214" s="704"/>
      <c r="S214" s="704">
        <f t="shared" si="28"/>
        <v>22400000</v>
      </c>
      <c r="T214" s="704">
        <f t="shared" si="29"/>
        <v>18554705.120480586</v>
      </c>
    </row>
    <row r="215" spans="1:20" ht="16.5" customHeight="1">
      <c r="A215" s="708">
        <f t="shared" si="25"/>
        <v>210</v>
      </c>
      <c r="B215" s="291" t="s">
        <v>933</v>
      </c>
      <c r="C215" s="726">
        <v>42430</v>
      </c>
      <c r="D215" s="727" t="s">
        <v>479</v>
      </c>
      <c r="E215" s="803">
        <v>38</v>
      </c>
      <c r="F215" s="802">
        <v>38</v>
      </c>
      <c r="G215" s="802">
        <v>27</v>
      </c>
      <c r="H215" s="798">
        <f t="shared" si="27"/>
        <v>1.07</v>
      </c>
      <c r="I215" s="257">
        <v>55</v>
      </c>
      <c r="J215" s="709">
        <f t="shared" si="24"/>
        <v>58.85</v>
      </c>
      <c r="K215" s="709">
        <f t="shared" si="26"/>
        <v>8926.9489563463248</v>
      </c>
      <c r="L215" s="626">
        <v>7700</v>
      </c>
      <c r="M215" s="723"/>
      <c r="O215" s="704"/>
      <c r="P215" s="704"/>
      <c r="Q215" s="704"/>
      <c r="S215" s="704">
        <f t="shared" si="28"/>
        <v>423500</v>
      </c>
      <c r="T215" s="704">
        <f t="shared" si="29"/>
        <v>490982.19259904785</v>
      </c>
    </row>
    <row r="216" spans="1:20" ht="16.5" customHeight="1">
      <c r="A216" s="708">
        <f t="shared" si="25"/>
        <v>211</v>
      </c>
      <c r="B216" s="291" t="s">
        <v>970</v>
      </c>
      <c r="C216" s="726">
        <v>42430</v>
      </c>
      <c r="D216" s="727" t="s">
        <v>479</v>
      </c>
      <c r="E216" s="803">
        <v>43</v>
      </c>
      <c r="F216" s="802">
        <v>31</v>
      </c>
      <c r="G216" s="802">
        <v>28</v>
      </c>
      <c r="H216" s="798">
        <f t="shared" si="27"/>
        <v>0.95</v>
      </c>
      <c r="I216" s="257">
        <v>55</v>
      </c>
      <c r="J216" s="709">
        <f t="shared" si="24"/>
        <v>52.25</v>
      </c>
      <c r="K216" s="709">
        <f t="shared" si="26"/>
        <v>7925.7958023635592</v>
      </c>
      <c r="L216" s="626">
        <v>6900</v>
      </c>
      <c r="M216" s="723"/>
      <c r="O216" s="704"/>
      <c r="P216" s="704"/>
      <c r="Q216" s="704"/>
      <c r="S216" s="704">
        <f t="shared" si="28"/>
        <v>379500</v>
      </c>
      <c r="T216" s="704">
        <f t="shared" si="29"/>
        <v>435918.76912999578</v>
      </c>
    </row>
    <row r="217" spans="1:20" ht="16.5" customHeight="1">
      <c r="A217" s="708">
        <f t="shared" si="25"/>
        <v>212</v>
      </c>
      <c r="B217" s="291" t="s">
        <v>971</v>
      </c>
      <c r="C217" s="726">
        <v>42430</v>
      </c>
      <c r="D217" s="727" t="s">
        <v>479</v>
      </c>
      <c r="E217" s="803">
        <v>47</v>
      </c>
      <c r="F217" s="802">
        <v>42</v>
      </c>
      <c r="G217" s="802">
        <v>13</v>
      </c>
      <c r="H217" s="798">
        <f t="shared" si="27"/>
        <v>1.06</v>
      </c>
      <c r="I217" s="257">
        <v>1993</v>
      </c>
      <c r="J217" s="709">
        <f t="shared" si="24"/>
        <v>2112.58</v>
      </c>
      <c r="K217" s="709">
        <f t="shared" si="26"/>
        <v>8843.5195268477619</v>
      </c>
      <c r="L217" s="626">
        <v>7520</v>
      </c>
      <c r="M217" s="723"/>
      <c r="O217" s="704"/>
      <c r="P217" s="704"/>
      <c r="Q217" s="704"/>
      <c r="S217" s="704">
        <f t="shared" si="28"/>
        <v>14987360</v>
      </c>
      <c r="T217" s="704">
        <f t="shared" si="29"/>
        <v>17625134.417007588</v>
      </c>
    </row>
    <row r="218" spans="1:20" ht="16.5" customHeight="1">
      <c r="A218" s="708">
        <f t="shared" si="25"/>
        <v>213</v>
      </c>
      <c r="B218" s="291" t="s">
        <v>466</v>
      </c>
      <c r="C218" s="726">
        <v>42430</v>
      </c>
      <c r="D218" s="727" t="s">
        <v>480</v>
      </c>
      <c r="E218" s="803">
        <v>37.5</v>
      </c>
      <c r="F218" s="802">
        <v>25.3</v>
      </c>
      <c r="G218" s="802">
        <v>23.9</v>
      </c>
      <c r="H218" s="798">
        <f t="shared" si="27"/>
        <v>0.68</v>
      </c>
      <c r="I218" s="257">
        <v>273</v>
      </c>
      <c r="J218" s="709">
        <f t="shared" si="24"/>
        <v>185.64000000000001</v>
      </c>
      <c r="K218" s="709">
        <f t="shared" si="26"/>
        <v>5673.2012059023382</v>
      </c>
      <c r="L218" s="626">
        <v>5900</v>
      </c>
      <c r="M218" s="723"/>
      <c r="O218" s="704"/>
      <c r="P218" s="704"/>
      <c r="Q218" s="704"/>
      <c r="S218" s="704">
        <f t="shared" si="28"/>
        <v>1610700</v>
      </c>
      <c r="T218" s="704">
        <f t="shared" si="29"/>
        <v>1548783.9292113383</v>
      </c>
    </row>
    <row r="219" spans="1:20" ht="16.5" customHeight="1">
      <c r="A219" s="708">
        <f t="shared" si="25"/>
        <v>214</v>
      </c>
      <c r="B219" s="291" t="s">
        <v>972</v>
      </c>
      <c r="C219" s="726">
        <v>42430</v>
      </c>
      <c r="D219" s="727" t="s">
        <v>481</v>
      </c>
      <c r="E219" s="803">
        <v>50.5</v>
      </c>
      <c r="F219" s="802">
        <v>31.5</v>
      </c>
      <c r="G219" s="802">
        <v>19</v>
      </c>
      <c r="H219" s="798">
        <f t="shared" si="27"/>
        <v>0.9</v>
      </c>
      <c r="I219" s="257">
        <v>78</v>
      </c>
      <c r="J219" s="709">
        <f t="shared" si="24"/>
        <v>70.2</v>
      </c>
      <c r="K219" s="709">
        <f t="shared" si="26"/>
        <v>7508.6486548707408</v>
      </c>
      <c r="L219" s="626">
        <v>7200</v>
      </c>
      <c r="M219" s="723"/>
      <c r="O219" s="704"/>
      <c r="P219" s="704"/>
      <c r="Q219" s="704"/>
      <c r="S219" s="704">
        <f t="shared" si="28"/>
        <v>561600</v>
      </c>
      <c r="T219" s="704">
        <f t="shared" si="29"/>
        <v>585674.59507991781</v>
      </c>
    </row>
    <row r="220" spans="1:20" ht="16.5" customHeight="1">
      <c r="A220" s="708">
        <f t="shared" si="25"/>
        <v>215</v>
      </c>
      <c r="B220" s="291" t="s">
        <v>973</v>
      </c>
      <c r="C220" s="726">
        <v>42430</v>
      </c>
      <c r="D220" s="727" t="s">
        <v>481</v>
      </c>
      <c r="E220" s="803">
        <v>62</v>
      </c>
      <c r="F220" s="802">
        <v>36</v>
      </c>
      <c r="G220" s="802">
        <v>24</v>
      </c>
      <c r="H220" s="798">
        <f t="shared" si="27"/>
        <v>1.27</v>
      </c>
      <c r="I220" s="257">
        <v>85</v>
      </c>
      <c r="J220" s="709">
        <f t="shared" si="24"/>
        <v>107.95</v>
      </c>
      <c r="K220" s="709">
        <f t="shared" si="26"/>
        <v>10595.537546317601</v>
      </c>
      <c r="L220" s="626">
        <v>9600</v>
      </c>
      <c r="M220" s="723"/>
      <c r="O220" s="704"/>
      <c r="P220" s="704"/>
      <c r="Q220" s="704"/>
      <c r="S220" s="704">
        <f t="shared" si="28"/>
        <v>816000</v>
      </c>
      <c r="T220" s="704">
        <f t="shared" si="29"/>
        <v>900620.6914369961</v>
      </c>
    </row>
    <row r="221" spans="1:20" ht="16.5" customHeight="1">
      <c r="A221" s="708">
        <f t="shared" ref="A221:A252" si="30">IF(B219&lt;&gt;"",A220+1,"")</f>
        <v>216</v>
      </c>
      <c r="B221" s="291" t="s">
        <v>974</v>
      </c>
      <c r="C221" s="726">
        <v>42430</v>
      </c>
      <c r="D221" s="727" t="s">
        <v>481</v>
      </c>
      <c r="E221" s="803">
        <v>65.5</v>
      </c>
      <c r="F221" s="802">
        <v>46.5</v>
      </c>
      <c r="G221" s="802">
        <v>31</v>
      </c>
      <c r="H221" s="798">
        <f t="shared" si="27"/>
        <v>1.84</v>
      </c>
      <c r="I221" s="257">
        <v>76</v>
      </c>
      <c r="J221" s="709">
        <f t="shared" si="24"/>
        <v>139.84</v>
      </c>
      <c r="K221" s="709">
        <f t="shared" si="26"/>
        <v>15351.015027735737</v>
      </c>
      <c r="L221" s="626">
        <v>13400</v>
      </c>
      <c r="M221" s="723"/>
      <c r="O221" s="704"/>
      <c r="P221" s="704"/>
      <c r="Q221" s="704"/>
      <c r="S221" s="704">
        <f t="shared" si="28"/>
        <v>1018400</v>
      </c>
      <c r="T221" s="704">
        <f t="shared" si="29"/>
        <v>1166677.1421079161</v>
      </c>
    </row>
    <row r="222" spans="1:20" ht="16.5" customHeight="1">
      <c r="A222" s="708">
        <f t="shared" si="30"/>
        <v>217</v>
      </c>
      <c r="B222" s="291" t="s">
        <v>975</v>
      </c>
      <c r="C222" s="726">
        <v>42430</v>
      </c>
      <c r="D222" s="727" t="s">
        <v>481</v>
      </c>
      <c r="E222" s="803">
        <v>95.5</v>
      </c>
      <c r="F222" s="802">
        <v>53.5</v>
      </c>
      <c r="G222" s="802">
        <v>34</v>
      </c>
      <c r="H222" s="798">
        <f t="shared" si="27"/>
        <v>2.74</v>
      </c>
      <c r="I222" s="257">
        <v>91</v>
      </c>
      <c r="J222" s="709">
        <f t="shared" si="24"/>
        <v>249.34000000000003</v>
      </c>
      <c r="K222" s="709">
        <f t="shared" si="26"/>
        <v>22859.663682606479</v>
      </c>
      <c r="L222" s="626">
        <v>19400</v>
      </c>
      <c r="M222" s="723"/>
      <c r="O222" s="704"/>
      <c r="P222" s="704"/>
      <c r="Q222" s="704"/>
      <c r="S222" s="704">
        <f t="shared" si="28"/>
        <v>1765400</v>
      </c>
      <c r="T222" s="704">
        <f t="shared" si="29"/>
        <v>2080229.3951171895</v>
      </c>
    </row>
    <row r="223" spans="1:20" ht="16.5" customHeight="1">
      <c r="A223" s="708">
        <f t="shared" si="30"/>
        <v>218</v>
      </c>
      <c r="B223" s="291" t="s">
        <v>976</v>
      </c>
      <c r="C223" s="726">
        <v>42430</v>
      </c>
      <c r="D223" s="727" t="s">
        <v>481</v>
      </c>
      <c r="E223" s="803">
        <v>47.5</v>
      </c>
      <c r="F223" s="802">
        <v>18.5</v>
      </c>
      <c r="G223" s="802">
        <v>14</v>
      </c>
      <c r="H223" s="798">
        <f t="shared" si="27"/>
        <v>0.49</v>
      </c>
      <c r="I223" s="257">
        <v>473</v>
      </c>
      <c r="J223" s="709">
        <f t="shared" si="24"/>
        <v>231.76999999999998</v>
      </c>
      <c r="K223" s="709">
        <f t="shared" si="26"/>
        <v>4088.0420454296254</v>
      </c>
      <c r="L223" s="626">
        <v>4400</v>
      </c>
      <c r="M223" s="723"/>
      <c r="O223" s="704"/>
      <c r="P223" s="704"/>
      <c r="Q223" s="704"/>
      <c r="S223" s="704">
        <f t="shared" si="28"/>
        <v>2081200</v>
      </c>
      <c r="T223" s="704">
        <f t="shared" si="29"/>
        <v>1933643.8874882129</v>
      </c>
    </row>
    <row r="224" spans="1:20" ht="16.5" customHeight="1">
      <c r="A224" s="708">
        <f t="shared" si="30"/>
        <v>219</v>
      </c>
      <c r="B224" s="291" t="s">
        <v>977</v>
      </c>
      <c r="C224" s="726">
        <v>42430</v>
      </c>
      <c r="D224" s="727" t="s">
        <v>481</v>
      </c>
      <c r="E224" s="803">
        <v>65</v>
      </c>
      <c r="F224" s="802">
        <v>24.5</v>
      </c>
      <c r="G224" s="802">
        <v>14</v>
      </c>
      <c r="H224" s="798">
        <f t="shared" si="27"/>
        <v>0.76</v>
      </c>
      <c r="I224" s="257">
        <v>470</v>
      </c>
      <c r="J224" s="709">
        <f t="shared" si="24"/>
        <v>357.2</v>
      </c>
      <c r="K224" s="709">
        <f t="shared" si="26"/>
        <v>6340.6366418908474</v>
      </c>
      <c r="L224" s="626">
        <v>6200</v>
      </c>
      <c r="M224" s="723"/>
      <c r="O224" s="704"/>
      <c r="P224" s="704"/>
      <c r="Q224" s="704"/>
      <c r="S224" s="704">
        <f t="shared" si="28"/>
        <v>2914000</v>
      </c>
      <c r="T224" s="704">
        <f t="shared" si="29"/>
        <v>2980099.221688698</v>
      </c>
    </row>
    <row r="225" spans="1:20" ht="16.5" customHeight="1">
      <c r="A225" s="708">
        <f t="shared" si="30"/>
        <v>220</v>
      </c>
      <c r="B225" s="291" t="s">
        <v>978</v>
      </c>
      <c r="C225" s="726">
        <v>42430</v>
      </c>
      <c r="D225" s="727" t="s">
        <v>481</v>
      </c>
      <c r="E225" s="803">
        <v>78</v>
      </c>
      <c r="F225" s="802">
        <v>40</v>
      </c>
      <c r="G225" s="802">
        <v>14</v>
      </c>
      <c r="H225" s="798">
        <f t="shared" si="27"/>
        <v>1.37</v>
      </c>
      <c r="I225" s="257">
        <v>475</v>
      </c>
      <c r="J225" s="709">
        <f t="shared" si="24"/>
        <v>650.75</v>
      </c>
      <c r="K225" s="709">
        <f t="shared" si="26"/>
        <v>11429.831841303239</v>
      </c>
      <c r="L225" s="626">
        <v>10200</v>
      </c>
      <c r="M225" s="723"/>
      <c r="O225" s="704"/>
      <c r="P225" s="704"/>
      <c r="Q225" s="704"/>
      <c r="S225" s="704">
        <f t="shared" si="28"/>
        <v>4845000</v>
      </c>
      <c r="T225" s="704">
        <f t="shared" si="29"/>
        <v>5429170.1246190388</v>
      </c>
    </row>
    <row r="226" spans="1:20" ht="16.5" customHeight="1">
      <c r="A226" s="708">
        <f t="shared" si="30"/>
        <v>221</v>
      </c>
      <c r="B226" s="291" t="s">
        <v>971</v>
      </c>
      <c r="C226" s="726">
        <v>42434</v>
      </c>
      <c r="D226" s="727" t="s">
        <v>482</v>
      </c>
      <c r="E226" s="803">
        <v>47</v>
      </c>
      <c r="F226" s="802">
        <v>42</v>
      </c>
      <c r="G226" s="802">
        <v>13</v>
      </c>
      <c r="H226" s="798">
        <f t="shared" si="27"/>
        <v>1.06</v>
      </c>
      <c r="I226" s="257">
        <v>3383</v>
      </c>
      <c r="J226" s="709">
        <f t="shared" si="24"/>
        <v>3585.98</v>
      </c>
      <c r="K226" s="709">
        <f t="shared" si="26"/>
        <v>8843.5195268477619</v>
      </c>
      <c r="L226" s="626">
        <v>7520</v>
      </c>
      <c r="M226" s="723"/>
      <c r="O226" s="704"/>
      <c r="P226" s="704"/>
      <c r="Q226" s="704"/>
      <c r="S226" s="704">
        <f t="shared" si="28"/>
        <v>25440160</v>
      </c>
      <c r="T226" s="704">
        <f t="shared" si="29"/>
        <v>29917626.559325978</v>
      </c>
    </row>
    <row r="227" spans="1:20" ht="16.5" customHeight="1">
      <c r="A227" s="708">
        <f t="shared" si="30"/>
        <v>222</v>
      </c>
      <c r="B227" s="291" t="s">
        <v>1474</v>
      </c>
      <c r="C227" s="726">
        <v>42434</v>
      </c>
      <c r="D227" s="727" t="s">
        <v>483</v>
      </c>
      <c r="E227" s="803">
        <v>49</v>
      </c>
      <c r="F227" s="802">
        <v>38</v>
      </c>
      <c r="G227" s="802">
        <v>12</v>
      </c>
      <c r="H227" s="798">
        <f t="shared" si="27"/>
        <v>0.95</v>
      </c>
      <c r="I227" s="257">
        <v>527</v>
      </c>
      <c r="J227" s="709">
        <f t="shared" si="24"/>
        <v>500.65</v>
      </c>
      <c r="K227" s="709">
        <f t="shared" si="26"/>
        <v>7925.7958023635592</v>
      </c>
      <c r="L227" s="626">
        <v>10500</v>
      </c>
      <c r="M227" s="723"/>
      <c r="O227" s="704"/>
      <c r="P227" s="704"/>
      <c r="Q227" s="704"/>
      <c r="S227" s="704">
        <f t="shared" si="28"/>
        <v>5533500</v>
      </c>
      <c r="T227" s="704">
        <f t="shared" si="29"/>
        <v>4176894.3878455958</v>
      </c>
    </row>
    <row r="228" spans="1:20" ht="16.5" customHeight="1">
      <c r="A228" s="708">
        <f t="shared" si="30"/>
        <v>223</v>
      </c>
      <c r="B228" s="291" t="s">
        <v>1470</v>
      </c>
      <c r="C228" s="726">
        <v>42436</v>
      </c>
      <c r="D228" s="727" t="s">
        <v>485</v>
      </c>
      <c r="E228" s="803">
        <v>39.5</v>
      </c>
      <c r="F228" s="802">
        <v>28</v>
      </c>
      <c r="G228" s="802">
        <v>28</v>
      </c>
      <c r="H228" s="798">
        <f t="shared" si="27"/>
        <v>0.83</v>
      </c>
      <c r="I228" s="257">
        <v>500</v>
      </c>
      <c r="J228" s="709">
        <f t="shared" si="24"/>
        <v>415</v>
      </c>
      <c r="K228" s="709">
        <f t="shared" si="26"/>
        <v>6924.6426483807936</v>
      </c>
      <c r="L228" s="626">
        <v>17000</v>
      </c>
      <c r="M228" s="723"/>
      <c r="O228" s="704"/>
      <c r="P228" s="704"/>
      <c r="Q228" s="704"/>
      <c r="S228" s="704">
        <f t="shared" si="28"/>
        <v>8500000</v>
      </c>
      <c r="T228" s="704">
        <f t="shared" si="29"/>
        <v>3462321.3241903968</v>
      </c>
    </row>
    <row r="229" spans="1:20" ht="16.5" customHeight="1">
      <c r="A229" s="708">
        <f t="shared" si="30"/>
        <v>224</v>
      </c>
      <c r="B229" s="291" t="s">
        <v>1471</v>
      </c>
      <c r="C229" s="726">
        <v>42436</v>
      </c>
      <c r="D229" s="727" t="s">
        <v>483</v>
      </c>
      <c r="E229" s="803">
        <v>39.5</v>
      </c>
      <c r="F229" s="802">
        <v>28</v>
      </c>
      <c r="G229" s="802">
        <v>28</v>
      </c>
      <c r="H229" s="798">
        <f t="shared" si="27"/>
        <v>0.83</v>
      </c>
      <c r="I229" s="257">
        <v>500</v>
      </c>
      <c r="J229" s="709">
        <f t="shared" si="24"/>
        <v>415</v>
      </c>
      <c r="K229" s="709">
        <f t="shared" si="26"/>
        <v>6924.6426483807936</v>
      </c>
      <c r="L229" s="626">
        <v>17800</v>
      </c>
      <c r="M229" s="723"/>
      <c r="O229" s="704"/>
      <c r="P229" s="704"/>
      <c r="Q229" s="704"/>
      <c r="S229" s="704">
        <f t="shared" si="28"/>
        <v>8900000</v>
      </c>
      <c r="T229" s="704">
        <f t="shared" si="29"/>
        <v>3462321.3241903968</v>
      </c>
    </row>
    <row r="230" spans="1:20" ht="16.5" customHeight="1">
      <c r="A230" s="708">
        <f t="shared" si="30"/>
        <v>225</v>
      </c>
      <c r="B230" s="291" t="s">
        <v>670</v>
      </c>
      <c r="C230" s="726">
        <v>42437</v>
      </c>
      <c r="D230" s="727" t="s">
        <v>487</v>
      </c>
      <c r="E230" s="803">
        <v>57</v>
      </c>
      <c r="F230" s="802">
        <v>46</v>
      </c>
      <c r="G230" s="802">
        <v>30</v>
      </c>
      <c r="H230" s="798">
        <f t="shared" si="27"/>
        <v>1.67</v>
      </c>
      <c r="I230" s="257">
        <v>511</v>
      </c>
      <c r="J230" s="709">
        <f t="shared" si="24"/>
        <v>853.37</v>
      </c>
      <c r="K230" s="709">
        <f t="shared" si="26"/>
        <v>13932.714726260152</v>
      </c>
      <c r="L230" s="626">
        <v>11700</v>
      </c>
      <c r="M230" s="723"/>
      <c r="O230" s="704"/>
      <c r="P230" s="704"/>
      <c r="Q230" s="704"/>
      <c r="S230" s="704">
        <f t="shared" si="28"/>
        <v>5978700</v>
      </c>
      <c r="T230" s="704">
        <f t="shared" si="29"/>
        <v>7119617.2251189379</v>
      </c>
    </row>
    <row r="231" spans="1:20" ht="16.5" customHeight="1">
      <c r="A231" s="708">
        <f t="shared" si="30"/>
        <v>226</v>
      </c>
      <c r="B231" s="291" t="s">
        <v>894</v>
      </c>
      <c r="C231" s="726">
        <v>42437</v>
      </c>
      <c r="D231" s="727" t="s">
        <v>488</v>
      </c>
      <c r="E231" s="803">
        <v>37.5</v>
      </c>
      <c r="F231" s="802">
        <v>30.5</v>
      </c>
      <c r="G231" s="802">
        <v>29.5</v>
      </c>
      <c r="H231" s="798">
        <f t="shared" si="27"/>
        <v>0.89</v>
      </c>
      <c r="I231" s="257">
        <v>500</v>
      </c>
      <c r="J231" s="709">
        <f t="shared" si="24"/>
        <v>445</v>
      </c>
      <c r="K231" s="709">
        <f t="shared" si="26"/>
        <v>7425.2192253721769</v>
      </c>
      <c r="L231" s="626">
        <v>11000</v>
      </c>
      <c r="M231" s="723"/>
      <c r="O231" s="704"/>
      <c r="P231" s="704"/>
      <c r="Q231" s="704"/>
      <c r="S231" s="704">
        <f t="shared" si="28"/>
        <v>5500000</v>
      </c>
      <c r="T231" s="704">
        <f t="shared" si="29"/>
        <v>3712609.6126860883</v>
      </c>
    </row>
    <row r="232" spans="1:20" ht="16.5" customHeight="1">
      <c r="A232" s="708">
        <f t="shared" si="30"/>
        <v>227</v>
      </c>
      <c r="B232" s="291" t="s">
        <v>979</v>
      </c>
      <c r="C232" s="726">
        <v>42439</v>
      </c>
      <c r="D232" s="727" t="s">
        <v>489</v>
      </c>
      <c r="E232" s="803">
        <v>51.5</v>
      </c>
      <c r="F232" s="802">
        <v>28.5</v>
      </c>
      <c r="G232" s="802">
        <v>10.8</v>
      </c>
      <c r="H232" s="798">
        <f t="shared" si="27"/>
        <v>0.7</v>
      </c>
      <c r="I232" s="257">
        <v>214</v>
      </c>
      <c r="J232" s="709">
        <f t="shared" si="24"/>
        <v>149.79999999999998</v>
      </c>
      <c r="K232" s="709">
        <f t="shared" si="26"/>
        <v>5840.060064899465</v>
      </c>
      <c r="L232" s="626">
        <v>8600</v>
      </c>
      <c r="M232" s="723"/>
      <c r="O232" s="704"/>
      <c r="P232" s="704"/>
      <c r="Q232" s="704"/>
      <c r="S232" s="704">
        <f t="shared" si="28"/>
        <v>1840400</v>
      </c>
      <c r="T232" s="704">
        <f t="shared" si="29"/>
        <v>1249772.8538884856</v>
      </c>
    </row>
    <row r="233" spans="1:20" ht="16.5" customHeight="1">
      <c r="A233" s="708">
        <f t="shared" si="30"/>
        <v>228</v>
      </c>
      <c r="B233" s="291" t="s">
        <v>440</v>
      </c>
      <c r="C233" s="726">
        <v>42439</v>
      </c>
      <c r="D233" s="727" t="s">
        <v>489</v>
      </c>
      <c r="E233" s="803">
        <v>51.5</v>
      </c>
      <c r="F233" s="802">
        <v>28.5</v>
      </c>
      <c r="G233" s="802">
        <v>7.2</v>
      </c>
      <c r="H233" s="798">
        <f t="shared" si="27"/>
        <v>0.64</v>
      </c>
      <c r="I233" s="257">
        <v>390</v>
      </c>
      <c r="J233" s="709">
        <f t="shared" si="24"/>
        <v>249.6</v>
      </c>
      <c r="K233" s="709">
        <f t="shared" si="26"/>
        <v>5339.4834879080827</v>
      </c>
      <c r="L233" s="626">
        <v>7700</v>
      </c>
      <c r="M233" s="723"/>
      <c r="O233" s="704"/>
      <c r="P233" s="704"/>
      <c r="Q233" s="704"/>
      <c r="S233" s="704">
        <f t="shared" si="28"/>
        <v>3003000</v>
      </c>
      <c r="T233" s="704">
        <f t="shared" si="29"/>
        <v>2082398.5602841522</v>
      </c>
    </row>
    <row r="234" spans="1:20" ht="16.5" customHeight="1">
      <c r="A234" s="708">
        <f t="shared" si="30"/>
        <v>229</v>
      </c>
      <c r="B234" s="291" t="s">
        <v>980</v>
      </c>
      <c r="C234" s="726">
        <v>42440</v>
      </c>
      <c r="D234" s="727" t="s">
        <v>490</v>
      </c>
      <c r="E234" s="803">
        <v>35</v>
      </c>
      <c r="F234" s="802">
        <v>22</v>
      </c>
      <c r="G234" s="802">
        <v>10.5</v>
      </c>
      <c r="H234" s="798">
        <f t="shared" si="27"/>
        <v>0.42</v>
      </c>
      <c r="I234" s="257">
        <v>744</v>
      </c>
      <c r="J234" s="709">
        <f t="shared" si="24"/>
        <v>312.47999999999996</v>
      </c>
      <c r="K234" s="709">
        <f t="shared" si="26"/>
        <v>3504.0360389396787</v>
      </c>
      <c r="L234" s="626">
        <v>4100</v>
      </c>
      <c r="M234" s="723"/>
      <c r="O234" s="704"/>
      <c r="P234" s="704"/>
      <c r="Q234" s="704"/>
      <c r="S234" s="704">
        <f t="shared" si="28"/>
        <v>3050400</v>
      </c>
      <c r="T234" s="704">
        <f t="shared" si="29"/>
        <v>2607002.8129711212</v>
      </c>
    </row>
    <row r="235" spans="1:20" ht="16.5" customHeight="1">
      <c r="A235" s="708">
        <f t="shared" si="30"/>
        <v>230</v>
      </c>
      <c r="B235" s="291" t="s">
        <v>1232</v>
      </c>
      <c r="C235" s="726">
        <v>42440</v>
      </c>
      <c r="D235" s="727" t="s">
        <v>491</v>
      </c>
      <c r="E235" s="803">
        <v>30</v>
      </c>
      <c r="F235" s="802">
        <v>37</v>
      </c>
      <c r="G235" s="802"/>
      <c r="H235" s="798">
        <f t="shared" si="27"/>
        <v>0.11</v>
      </c>
      <c r="I235" s="257">
        <v>210</v>
      </c>
      <c r="J235" s="709">
        <f t="shared" si="24"/>
        <v>23.1</v>
      </c>
      <c r="K235" s="709">
        <f t="shared" si="26"/>
        <v>917.72372448420163</v>
      </c>
      <c r="L235" s="626">
        <v>5900</v>
      </c>
      <c r="M235" s="723"/>
      <c r="O235" s="704"/>
      <c r="P235" s="704"/>
      <c r="Q235" s="704"/>
      <c r="S235" s="704">
        <f t="shared" si="28"/>
        <v>1239000</v>
      </c>
      <c r="T235" s="704">
        <f t="shared" si="29"/>
        <v>192721.98214168235</v>
      </c>
    </row>
    <row r="236" spans="1:20" ht="16.5" customHeight="1">
      <c r="A236" s="708">
        <f t="shared" si="30"/>
        <v>231</v>
      </c>
      <c r="B236" s="291" t="s">
        <v>688</v>
      </c>
      <c r="C236" s="726">
        <v>42441</v>
      </c>
      <c r="D236" s="727" t="s">
        <v>492</v>
      </c>
      <c r="E236" s="803">
        <v>43</v>
      </c>
      <c r="F236" s="802">
        <v>29</v>
      </c>
      <c r="G236" s="802">
        <v>20</v>
      </c>
      <c r="H236" s="798">
        <f t="shared" si="27"/>
        <v>0.77</v>
      </c>
      <c r="I236" s="257">
        <v>843</v>
      </c>
      <c r="J236" s="709">
        <f t="shared" si="24"/>
        <v>649.11</v>
      </c>
      <c r="K236" s="709">
        <f t="shared" si="26"/>
        <v>6424.0660713894113</v>
      </c>
      <c r="L236" s="626">
        <v>6450</v>
      </c>
      <c r="M236" s="723"/>
      <c r="O236" s="704"/>
      <c r="P236" s="704"/>
      <c r="Q236" s="704"/>
      <c r="S236" s="704">
        <f t="shared" si="28"/>
        <v>5437350</v>
      </c>
      <c r="T236" s="704">
        <f t="shared" si="29"/>
        <v>5415487.6981812734</v>
      </c>
    </row>
    <row r="237" spans="1:20" ht="16.5" customHeight="1">
      <c r="A237" s="708">
        <f t="shared" si="30"/>
        <v>232</v>
      </c>
      <c r="B237" s="291" t="s">
        <v>689</v>
      </c>
      <c r="C237" s="726">
        <v>42441</v>
      </c>
      <c r="D237" s="727" t="s">
        <v>492</v>
      </c>
      <c r="E237" s="803">
        <v>57</v>
      </c>
      <c r="F237" s="802">
        <v>38</v>
      </c>
      <c r="G237" s="802">
        <v>33</v>
      </c>
      <c r="H237" s="798">
        <f t="shared" si="27"/>
        <v>1.44</v>
      </c>
      <c r="I237" s="257">
        <v>204</v>
      </c>
      <c r="J237" s="709">
        <f t="shared" si="24"/>
        <v>293.76</v>
      </c>
      <c r="K237" s="709">
        <f t="shared" si="26"/>
        <v>12013.837847793186</v>
      </c>
      <c r="L237" s="626">
        <v>10920</v>
      </c>
      <c r="M237" s="723"/>
      <c r="O237" s="704"/>
      <c r="P237" s="704"/>
      <c r="Q237" s="704"/>
      <c r="S237" s="704">
        <f t="shared" si="28"/>
        <v>2227680</v>
      </c>
      <c r="T237" s="704">
        <f t="shared" si="29"/>
        <v>2450822.9209498097</v>
      </c>
    </row>
    <row r="238" spans="1:20" ht="16.5" customHeight="1">
      <c r="A238" s="708">
        <f t="shared" si="30"/>
        <v>233</v>
      </c>
      <c r="B238" s="291" t="s">
        <v>444</v>
      </c>
      <c r="C238" s="726">
        <v>42441</v>
      </c>
      <c r="D238" s="727" t="s">
        <v>493</v>
      </c>
      <c r="E238" s="803">
        <v>52</v>
      </c>
      <c r="F238" s="802">
        <v>26.5</v>
      </c>
      <c r="G238" s="802">
        <v>26.5</v>
      </c>
      <c r="H238" s="798">
        <f t="shared" si="27"/>
        <v>0.91</v>
      </c>
      <c r="I238" s="257">
        <v>610</v>
      </c>
      <c r="J238" s="709">
        <f t="shared" si="24"/>
        <v>555.1</v>
      </c>
      <c r="K238" s="709">
        <f t="shared" si="26"/>
        <v>7592.0780843693046</v>
      </c>
      <c r="L238" s="626">
        <v>5550</v>
      </c>
      <c r="M238" s="723"/>
      <c r="O238" s="704"/>
      <c r="P238" s="704"/>
      <c r="Q238" s="704"/>
      <c r="S238" s="704">
        <f t="shared" si="28"/>
        <v>3385500</v>
      </c>
      <c r="T238" s="704">
        <f t="shared" si="29"/>
        <v>4631167.6314652758</v>
      </c>
    </row>
    <row r="239" spans="1:20" ht="16.5" customHeight="1">
      <c r="A239" s="708">
        <f t="shared" si="30"/>
        <v>234</v>
      </c>
      <c r="B239" s="291" t="s">
        <v>515</v>
      </c>
      <c r="C239" s="726">
        <v>42441</v>
      </c>
      <c r="D239" s="727" t="s">
        <v>493</v>
      </c>
      <c r="E239" s="803">
        <v>22.5</v>
      </c>
      <c r="F239" s="802">
        <v>22.5</v>
      </c>
      <c r="G239" s="802">
        <v>52</v>
      </c>
      <c r="H239" s="798">
        <f t="shared" si="27"/>
        <v>0.74</v>
      </c>
      <c r="I239" s="257">
        <v>309</v>
      </c>
      <c r="J239" s="709">
        <f t="shared" si="24"/>
        <v>228.66</v>
      </c>
      <c r="K239" s="709">
        <f t="shared" si="26"/>
        <v>6173.7777828937205</v>
      </c>
      <c r="L239" s="626">
        <v>5100</v>
      </c>
      <c r="M239" s="723"/>
      <c r="O239" s="704"/>
      <c r="P239" s="704"/>
      <c r="Q239" s="704"/>
      <c r="S239" s="704">
        <f t="shared" si="28"/>
        <v>1575900</v>
      </c>
      <c r="T239" s="704">
        <f t="shared" si="29"/>
        <v>1907697.3349141597</v>
      </c>
    </row>
    <row r="240" spans="1:20" ht="16.5" customHeight="1">
      <c r="A240" s="708">
        <f t="shared" si="30"/>
        <v>235</v>
      </c>
      <c r="B240" s="291" t="s">
        <v>982</v>
      </c>
      <c r="C240" s="726">
        <v>42441</v>
      </c>
      <c r="D240" s="727" t="s">
        <v>494</v>
      </c>
      <c r="E240" s="803">
        <v>32.5</v>
      </c>
      <c r="F240" s="802">
        <v>30.5</v>
      </c>
      <c r="G240" s="802">
        <v>11.3</v>
      </c>
      <c r="H240" s="798">
        <f t="shared" si="27"/>
        <v>0.59</v>
      </c>
      <c r="I240" s="257">
        <v>201</v>
      </c>
      <c r="J240" s="709">
        <f t="shared" si="24"/>
        <v>118.58999999999999</v>
      </c>
      <c r="K240" s="709">
        <f t="shared" si="26"/>
        <v>4922.3363404152633</v>
      </c>
      <c r="L240" s="626">
        <v>7500</v>
      </c>
      <c r="M240" s="723"/>
      <c r="O240" s="704"/>
      <c r="P240" s="704"/>
      <c r="Q240" s="704"/>
      <c r="S240" s="704">
        <f t="shared" si="28"/>
        <v>1507500</v>
      </c>
      <c r="T240" s="704">
        <f t="shared" si="29"/>
        <v>989389.60442346788</v>
      </c>
    </row>
    <row r="241" spans="1:20" ht="16.5" customHeight="1">
      <c r="A241" s="708">
        <f t="shared" si="30"/>
        <v>236</v>
      </c>
      <c r="B241" s="291" t="s">
        <v>983</v>
      </c>
      <c r="C241" s="726">
        <v>42441</v>
      </c>
      <c r="D241" s="727" t="s">
        <v>495</v>
      </c>
      <c r="E241" s="803">
        <v>66</v>
      </c>
      <c r="F241" s="802">
        <v>44.5</v>
      </c>
      <c r="G241" s="802">
        <v>28</v>
      </c>
      <c r="H241" s="798">
        <f t="shared" si="27"/>
        <v>1.71</v>
      </c>
      <c r="I241" s="257">
        <v>50</v>
      </c>
      <c r="J241" s="709">
        <f t="shared" si="24"/>
        <v>85.5</v>
      </c>
      <c r="K241" s="709">
        <f t="shared" si="26"/>
        <v>14266.432444254408</v>
      </c>
      <c r="L241" s="626">
        <v>21900</v>
      </c>
      <c r="M241" s="723"/>
      <c r="O241" s="704"/>
      <c r="P241" s="704"/>
      <c r="Q241" s="704"/>
      <c r="S241" s="704">
        <f t="shared" si="28"/>
        <v>1095000</v>
      </c>
      <c r="T241" s="704">
        <f t="shared" si="29"/>
        <v>713321.62221272034</v>
      </c>
    </row>
    <row r="242" spans="1:20" ht="16.5" customHeight="1">
      <c r="A242" s="708">
        <f t="shared" si="30"/>
        <v>237</v>
      </c>
      <c r="B242" s="291" t="s">
        <v>984</v>
      </c>
      <c r="C242" s="726">
        <v>42441</v>
      </c>
      <c r="D242" s="727" t="s">
        <v>495</v>
      </c>
      <c r="E242" s="803">
        <v>44.5</v>
      </c>
      <c r="F242" s="802">
        <v>44</v>
      </c>
      <c r="G242" s="802">
        <v>28</v>
      </c>
      <c r="H242" s="798">
        <f t="shared" si="27"/>
        <v>1.37</v>
      </c>
      <c r="I242" s="257">
        <v>400</v>
      </c>
      <c r="J242" s="709">
        <f t="shared" si="24"/>
        <v>548</v>
      </c>
      <c r="K242" s="709">
        <f t="shared" si="26"/>
        <v>11429.831841303239</v>
      </c>
      <c r="L242" s="626">
        <v>16700</v>
      </c>
      <c r="M242" s="723"/>
      <c r="O242" s="704"/>
      <c r="P242" s="704"/>
      <c r="Q242" s="704"/>
      <c r="S242" s="704">
        <f t="shared" si="28"/>
        <v>6680000</v>
      </c>
      <c r="T242" s="704">
        <f t="shared" si="29"/>
        <v>4571932.7365212962</v>
      </c>
    </row>
    <row r="243" spans="1:20" ht="16.5" customHeight="1">
      <c r="A243" s="708">
        <f t="shared" si="30"/>
        <v>238</v>
      </c>
      <c r="B243" s="291" t="s">
        <v>448</v>
      </c>
      <c r="C243" s="726">
        <v>42445</v>
      </c>
      <c r="D243" s="727" t="s">
        <v>496</v>
      </c>
      <c r="E243" s="803">
        <v>103</v>
      </c>
      <c r="F243" s="802">
        <v>50</v>
      </c>
      <c r="G243" s="802">
        <v>180</v>
      </c>
      <c r="H243" s="798">
        <f t="shared" si="27"/>
        <v>7.25</v>
      </c>
      <c r="I243" s="257">
        <v>93</v>
      </c>
      <c r="J243" s="709">
        <f t="shared" si="24"/>
        <v>674.25</v>
      </c>
      <c r="K243" s="709">
        <f t="shared" si="26"/>
        <v>60486.336386458745</v>
      </c>
      <c r="L243" s="626">
        <v>47449</v>
      </c>
      <c r="M243" s="723"/>
      <c r="O243" s="704"/>
      <c r="P243" s="704"/>
      <c r="Q243" s="704"/>
      <c r="S243" s="704">
        <f t="shared" si="28"/>
        <v>4412757</v>
      </c>
      <c r="T243" s="704">
        <f t="shared" si="29"/>
        <v>5625229.2839406636</v>
      </c>
    </row>
    <row r="244" spans="1:20" ht="16.5" customHeight="1">
      <c r="A244" s="708">
        <f t="shared" si="30"/>
        <v>239</v>
      </c>
      <c r="B244" s="291" t="s">
        <v>471</v>
      </c>
      <c r="C244" s="726">
        <v>42448</v>
      </c>
      <c r="D244" s="727" t="s">
        <v>497</v>
      </c>
      <c r="E244" s="803">
        <v>55</v>
      </c>
      <c r="F244" s="802">
        <v>45</v>
      </c>
      <c r="G244" s="802">
        <v>29</v>
      </c>
      <c r="H244" s="798">
        <f t="shared" si="27"/>
        <v>1.58</v>
      </c>
      <c r="I244" s="257">
        <v>604</v>
      </c>
      <c r="J244" s="709">
        <f t="shared" si="24"/>
        <v>954.32</v>
      </c>
      <c r="K244" s="709">
        <f t="shared" si="26"/>
        <v>13181.849860773078</v>
      </c>
      <c r="L244" s="626">
        <v>9700</v>
      </c>
      <c r="M244" s="723"/>
      <c r="O244" s="704"/>
      <c r="P244" s="704"/>
      <c r="Q244" s="704"/>
      <c r="S244" s="704">
        <f t="shared" si="28"/>
        <v>5858800</v>
      </c>
      <c r="T244" s="704">
        <f t="shared" si="29"/>
        <v>7961837.3159069391</v>
      </c>
    </row>
    <row r="245" spans="1:20" ht="16.5" customHeight="1">
      <c r="A245" s="708">
        <f t="shared" si="30"/>
        <v>240</v>
      </c>
      <c r="B245" s="291" t="s">
        <v>419</v>
      </c>
      <c r="C245" s="726">
        <v>42448</v>
      </c>
      <c r="D245" s="727" t="s">
        <v>497</v>
      </c>
      <c r="E245" s="803">
        <v>52</v>
      </c>
      <c r="F245" s="802">
        <v>24.5</v>
      </c>
      <c r="G245" s="802">
        <v>24.5</v>
      </c>
      <c r="H245" s="798">
        <f t="shared" si="27"/>
        <v>0.82</v>
      </c>
      <c r="I245" s="257">
        <v>1255</v>
      </c>
      <c r="J245" s="709">
        <f t="shared" si="24"/>
        <v>1029.0999999999999</v>
      </c>
      <c r="K245" s="709">
        <f t="shared" si="26"/>
        <v>6841.2132188822297</v>
      </c>
      <c r="L245" s="626">
        <v>5000</v>
      </c>
      <c r="M245" s="723"/>
      <c r="O245" s="704"/>
      <c r="P245" s="704"/>
      <c r="Q245" s="704"/>
      <c r="S245" s="704">
        <f t="shared" si="28"/>
        <v>6275000</v>
      </c>
      <c r="T245" s="704">
        <f t="shared" si="29"/>
        <v>8585722.5896971989</v>
      </c>
    </row>
    <row r="246" spans="1:20" ht="16.5" customHeight="1">
      <c r="A246" s="708">
        <f t="shared" si="30"/>
        <v>241</v>
      </c>
      <c r="B246" s="291" t="s">
        <v>985</v>
      </c>
      <c r="C246" s="726">
        <v>42448</v>
      </c>
      <c r="D246" s="727" t="s">
        <v>498</v>
      </c>
      <c r="E246" s="803">
        <v>39</v>
      </c>
      <c r="F246" s="802">
        <v>30</v>
      </c>
      <c r="G246" s="802">
        <v>16</v>
      </c>
      <c r="H246" s="798">
        <f t="shared" si="27"/>
        <v>0.7</v>
      </c>
      <c r="I246" s="257">
        <v>209</v>
      </c>
      <c r="J246" s="709">
        <f t="shared" si="24"/>
        <v>146.29999999999998</v>
      </c>
      <c r="K246" s="709">
        <f t="shared" si="26"/>
        <v>5840.060064899465</v>
      </c>
      <c r="L246" s="626">
        <v>8500</v>
      </c>
      <c r="M246" s="723"/>
      <c r="O246" s="704"/>
      <c r="P246" s="704"/>
      <c r="Q246" s="704"/>
      <c r="S246" s="704">
        <f t="shared" si="28"/>
        <v>1776500</v>
      </c>
      <c r="T246" s="704">
        <f t="shared" si="29"/>
        <v>1220572.5535639883</v>
      </c>
    </row>
    <row r="247" spans="1:20" ht="16.5" customHeight="1">
      <c r="A247" s="708">
        <f t="shared" si="30"/>
        <v>242</v>
      </c>
      <c r="B247" s="291" t="s">
        <v>657</v>
      </c>
      <c r="C247" s="726">
        <v>42448</v>
      </c>
      <c r="D247" s="727" t="s">
        <v>498</v>
      </c>
      <c r="E247" s="803">
        <v>40</v>
      </c>
      <c r="F247" s="802">
        <v>30</v>
      </c>
      <c r="G247" s="802">
        <v>18.5</v>
      </c>
      <c r="H247" s="798">
        <f t="shared" si="27"/>
        <v>0.75</v>
      </c>
      <c r="I247" s="257">
        <v>500</v>
      </c>
      <c r="J247" s="709">
        <f t="shared" ref="J247:J271" si="31">H247*I247</f>
        <v>375</v>
      </c>
      <c r="K247" s="709">
        <f t="shared" si="26"/>
        <v>6257.2072123922844</v>
      </c>
      <c r="L247" s="626">
        <v>8800</v>
      </c>
      <c r="M247" s="723"/>
      <c r="O247" s="704"/>
      <c r="P247" s="704"/>
      <c r="Q247" s="704"/>
      <c r="S247" s="704">
        <f t="shared" si="28"/>
        <v>4400000</v>
      </c>
      <c r="T247" s="704">
        <f t="shared" si="29"/>
        <v>3128603.6061961423</v>
      </c>
    </row>
    <row r="248" spans="1:20" ht="16.5" customHeight="1">
      <c r="A248" s="708">
        <f t="shared" si="30"/>
        <v>243</v>
      </c>
      <c r="B248" s="291" t="s">
        <v>986</v>
      </c>
      <c r="C248" s="726">
        <v>42450</v>
      </c>
      <c r="D248" s="727" t="s">
        <v>499</v>
      </c>
      <c r="E248" s="803">
        <v>60.5</v>
      </c>
      <c r="F248" s="802">
        <v>50.5</v>
      </c>
      <c r="G248" s="802">
        <v>45</v>
      </c>
      <c r="H248" s="798">
        <f t="shared" si="27"/>
        <v>2.2400000000000002</v>
      </c>
      <c r="I248" s="257">
        <v>108</v>
      </c>
      <c r="J248" s="709">
        <f t="shared" si="31"/>
        <v>241.92000000000002</v>
      </c>
      <c r="K248" s="709">
        <f t="shared" si="26"/>
        <v>18688.19220767829</v>
      </c>
      <c r="L248" s="626">
        <v>15400</v>
      </c>
      <c r="M248" s="723"/>
      <c r="O248" s="704"/>
      <c r="P248" s="704"/>
      <c r="Q248" s="704"/>
      <c r="S248" s="704">
        <f t="shared" si="28"/>
        <v>1663200</v>
      </c>
      <c r="T248" s="704">
        <f t="shared" si="29"/>
        <v>2018324.7584292553</v>
      </c>
    </row>
    <row r="249" spans="1:20" ht="16.5" customHeight="1">
      <c r="A249" s="708">
        <f t="shared" si="30"/>
        <v>244</v>
      </c>
      <c r="B249" s="291" t="s">
        <v>670</v>
      </c>
      <c r="C249" s="726">
        <v>42450</v>
      </c>
      <c r="D249" s="727" t="s">
        <v>500</v>
      </c>
      <c r="E249" s="803">
        <v>57</v>
      </c>
      <c r="F249" s="802">
        <v>46</v>
      </c>
      <c r="G249" s="802">
        <v>30</v>
      </c>
      <c r="H249" s="798">
        <f t="shared" si="27"/>
        <v>1.67</v>
      </c>
      <c r="I249" s="257">
        <v>500</v>
      </c>
      <c r="J249" s="709">
        <f t="shared" si="31"/>
        <v>835</v>
      </c>
      <c r="K249" s="709">
        <f t="shared" si="26"/>
        <v>13932.714726260152</v>
      </c>
      <c r="L249" s="626">
        <v>13644</v>
      </c>
      <c r="M249" s="723"/>
      <c r="O249" s="704"/>
      <c r="P249" s="704"/>
      <c r="Q249" s="704"/>
      <c r="S249" s="704">
        <f t="shared" si="28"/>
        <v>6822000</v>
      </c>
      <c r="T249" s="704">
        <f t="shared" si="29"/>
        <v>6966357.3631300759</v>
      </c>
    </row>
    <row r="250" spans="1:20" ht="16.5" customHeight="1">
      <c r="A250" s="708">
        <f t="shared" si="30"/>
        <v>245</v>
      </c>
      <c r="B250" s="291" t="s">
        <v>445</v>
      </c>
      <c r="C250" s="726">
        <v>42450</v>
      </c>
      <c r="D250" s="727" t="s">
        <v>501</v>
      </c>
      <c r="E250" s="803">
        <v>49.5</v>
      </c>
      <c r="F250" s="802">
        <v>38.5</v>
      </c>
      <c r="G250" s="802">
        <v>32.5</v>
      </c>
      <c r="H250" s="798">
        <f t="shared" si="27"/>
        <v>1.34</v>
      </c>
      <c r="I250" s="257">
        <v>301</v>
      </c>
      <c r="J250" s="709">
        <f t="shared" si="31"/>
        <v>403.34000000000003</v>
      </c>
      <c r="K250" s="709">
        <f t="shared" si="26"/>
        <v>11179.543552807549</v>
      </c>
      <c r="L250" s="626">
        <v>12900</v>
      </c>
      <c r="M250" s="723"/>
      <c r="O250" s="704"/>
      <c r="P250" s="704"/>
      <c r="Q250" s="704"/>
      <c r="S250" s="704">
        <f t="shared" si="28"/>
        <v>3882900</v>
      </c>
      <c r="T250" s="704">
        <f t="shared" si="29"/>
        <v>3365042.6093950723</v>
      </c>
    </row>
    <row r="251" spans="1:20" ht="16.5" customHeight="1">
      <c r="A251" s="708">
        <f t="shared" si="30"/>
        <v>246</v>
      </c>
      <c r="B251" s="291" t="s">
        <v>987</v>
      </c>
      <c r="C251" s="726">
        <v>42451</v>
      </c>
      <c r="D251" s="727" t="s">
        <v>502</v>
      </c>
      <c r="E251" s="803">
        <v>35.5</v>
      </c>
      <c r="F251" s="802">
        <v>35.5</v>
      </c>
      <c r="G251" s="802">
        <v>23.5</v>
      </c>
      <c r="H251" s="798">
        <f t="shared" si="27"/>
        <v>0.91</v>
      </c>
      <c r="I251" s="257">
        <v>544</v>
      </c>
      <c r="J251" s="709">
        <f t="shared" si="31"/>
        <v>495.04</v>
      </c>
      <c r="K251" s="709">
        <f t="shared" si="26"/>
        <v>7592.0780843693046</v>
      </c>
      <c r="L251" s="626">
        <v>6800</v>
      </c>
      <c r="M251" s="723"/>
      <c r="O251" s="704"/>
      <c r="P251" s="704"/>
      <c r="Q251" s="704"/>
      <c r="S251" s="704">
        <f t="shared" si="28"/>
        <v>3699200</v>
      </c>
      <c r="T251" s="704">
        <f t="shared" si="29"/>
        <v>4130090.4778969018</v>
      </c>
    </row>
    <row r="252" spans="1:20" ht="16.5" customHeight="1">
      <c r="A252" s="708">
        <f t="shared" si="30"/>
        <v>247</v>
      </c>
      <c r="B252" s="291" t="s">
        <v>419</v>
      </c>
      <c r="C252" s="726">
        <v>42452</v>
      </c>
      <c r="D252" s="727" t="s">
        <v>505</v>
      </c>
      <c r="E252" s="803">
        <v>52</v>
      </c>
      <c r="F252" s="802">
        <v>24.5</v>
      </c>
      <c r="G252" s="802">
        <v>24.5</v>
      </c>
      <c r="H252" s="798">
        <f t="shared" si="27"/>
        <v>0.82</v>
      </c>
      <c r="I252" s="257">
        <v>1310</v>
      </c>
      <c r="J252" s="709">
        <f t="shared" si="31"/>
        <v>1074.2</v>
      </c>
      <c r="K252" s="709">
        <f t="shared" si="26"/>
        <v>6841.2132188822297</v>
      </c>
      <c r="L252" s="626">
        <v>5000</v>
      </c>
      <c r="M252" s="723"/>
      <c r="O252" s="704"/>
      <c r="P252" s="704"/>
      <c r="Q252" s="704"/>
      <c r="S252" s="704">
        <f t="shared" si="28"/>
        <v>6550000</v>
      </c>
      <c r="T252" s="704">
        <f t="shared" si="29"/>
        <v>8961989.3167357203</v>
      </c>
    </row>
    <row r="253" spans="1:20" ht="16.5" customHeight="1">
      <c r="A253" s="708">
        <f t="shared" ref="A253" si="32">IF(B251&lt;&gt;"",A252+1,"")</f>
        <v>248</v>
      </c>
      <c r="B253" s="291" t="s">
        <v>988</v>
      </c>
      <c r="C253" s="726">
        <v>42452</v>
      </c>
      <c r="D253" s="727" t="s">
        <v>506</v>
      </c>
      <c r="E253" s="803">
        <v>40</v>
      </c>
      <c r="F253" s="802">
        <v>30</v>
      </c>
      <c r="G253" s="802">
        <v>20</v>
      </c>
      <c r="H253" s="798">
        <f t="shared" si="27"/>
        <v>0.77</v>
      </c>
      <c r="I253" s="257">
        <v>200</v>
      </c>
      <c r="J253" s="709">
        <f t="shared" si="31"/>
        <v>154</v>
      </c>
      <c r="K253" s="709">
        <f t="shared" si="26"/>
        <v>6424.0660713894113</v>
      </c>
      <c r="L253" s="626">
        <v>9200</v>
      </c>
      <c r="M253" s="723"/>
      <c r="O253" s="704"/>
      <c r="P253" s="704"/>
      <c r="Q253" s="704"/>
      <c r="S253" s="704">
        <f t="shared" si="28"/>
        <v>1840000</v>
      </c>
      <c r="T253" s="704">
        <f t="shared" si="29"/>
        <v>1284813.2142778824</v>
      </c>
    </row>
    <row r="254" spans="1:20" ht="16.5" customHeight="1">
      <c r="A254" s="708">
        <f t="shared" ref="A254:A268" si="33">IF(B252&lt;&gt;"",A253+1,"")</f>
        <v>249</v>
      </c>
      <c r="B254" s="291" t="s">
        <v>989</v>
      </c>
      <c r="C254" s="726">
        <v>42452</v>
      </c>
      <c r="D254" s="727" t="s">
        <v>508</v>
      </c>
      <c r="E254" s="803">
        <v>39</v>
      </c>
      <c r="F254" s="802">
        <v>29</v>
      </c>
      <c r="G254" s="802">
        <v>30</v>
      </c>
      <c r="H254" s="798">
        <f t="shared" si="27"/>
        <v>0.87</v>
      </c>
      <c r="I254" s="257">
        <v>31</v>
      </c>
      <c r="J254" s="709">
        <f t="shared" si="31"/>
        <v>26.97</v>
      </c>
      <c r="K254" s="709">
        <f t="shared" si="26"/>
        <v>7258.3603663750491</v>
      </c>
      <c r="L254" s="626">
        <v>6770</v>
      </c>
      <c r="M254" s="723"/>
      <c r="O254" s="704"/>
      <c r="P254" s="704"/>
      <c r="Q254" s="704"/>
      <c r="S254" s="704">
        <f t="shared" si="28"/>
        <v>209870</v>
      </c>
      <c r="T254" s="704">
        <f t="shared" si="29"/>
        <v>225009.17135762653</v>
      </c>
    </row>
    <row r="255" spans="1:20" ht="16.5" customHeight="1">
      <c r="A255" s="708">
        <f t="shared" si="33"/>
        <v>250</v>
      </c>
      <c r="B255" s="291" t="s">
        <v>990</v>
      </c>
      <c r="C255" s="726">
        <v>42452</v>
      </c>
      <c r="D255" s="727" t="s">
        <v>508</v>
      </c>
      <c r="E255" s="803">
        <v>46</v>
      </c>
      <c r="F255" s="802">
        <v>42</v>
      </c>
      <c r="G255" s="802">
        <v>26</v>
      </c>
      <c r="H255" s="798">
        <f t="shared" si="27"/>
        <v>1.29</v>
      </c>
      <c r="I255" s="257">
        <v>106</v>
      </c>
      <c r="J255" s="709">
        <f t="shared" si="31"/>
        <v>136.74</v>
      </c>
      <c r="K255" s="709">
        <f t="shared" si="26"/>
        <v>10762.396405314728</v>
      </c>
      <c r="L255" s="626">
        <v>9400</v>
      </c>
      <c r="M255" s="723"/>
      <c r="O255" s="704"/>
      <c r="P255" s="704"/>
      <c r="Q255" s="704"/>
      <c r="S255" s="704">
        <f t="shared" si="28"/>
        <v>996400</v>
      </c>
      <c r="T255" s="704">
        <f t="shared" si="29"/>
        <v>1140814.0189633612</v>
      </c>
    </row>
    <row r="256" spans="1:20" ht="16.5" customHeight="1">
      <c r="A256" s="708">
        <f t="shared" si="33"/>
        <v>251</v>
      </c>
      <c r="B256" s="291" t="s">
        <v>510</v>
      </c>
      <c r="C256" s="726">
        <v>42452</v>
      </c>
      <c r="D256" s="727" t="s">
        <v>508</v>
      </c>
      <c r="E256" s="803">
        <v>47</v>
      </c>
      <c r="F256" s="802">
        <v>42</v>
      </c>
      <c r="G256" s="802">
        <v>24.5</v>
      </c>
      <c r="H256" s="798">
        <f t="shared" si="27"/>
        <v>1.27</v>
      </c>
      <c r="I256" s="257">
        <v>584</v>
      </c>
      <c r="J256" s="709">
        <f t="shared" si="31"/>
        <v>741.68000000000006</v>
      </c>
      <c r="K256" s="709">
        <f t="shared" si="26"/>
        <v>10595.537546317601</v>
      </c>
      <c r="L256" s="626">
        <v>9200</v>
      </c>
      <c r="M256" s="723"/>
      <c r="O256" s="704"/>
      <c r="P256" s="704"/>
      <c r="Q256" s="704"/>
      <c r="S256" s="704">
        <f t="shared" si="28"/>
        <v>5372800</v>
      </c>
      <c r="T256" s="704">
        <f t="shared" si="29"/>
        <v>6187793.9270494785</v>
      </c>
    </row>
    <row r="257" spans="1:20" ht="16.5" customHeight="1">
      <c r="A257" s="708">
        <f t="shared" si="33"/>
        <v>252</v>
      </c>
      <c r="B257" s="291" t="s">
        <v>510</v>
      </c>
      <c r="C257" s="726">
        <v>42452</v>
      </c>
      <c r="D257" s="727" t="s">
        <v>509</v>
      </c>
      <c r="E257" s="803">
        <v>47</v>
      </c>
      <c r="F257" s="802">
        <v>42</v>
      </c>
      <c r="G257" s="802">
        <v>24.5</v>
      </c>
      <c r="H257" s="798">
        <f t="shared" si="27"/>
        <v>1.27</v>
      </c>
      <c r="I257" s="257">
        <v>644</v>
      </c>
      <c r="J257" s="709">
        <f t="shared" si="31"/>
        <v>817.88</v>
      </c>
      <c r="K257" s="709">
        <f t="shared" si="26"/>
        <v>10595.537546317601</v>
      </c>
      <c r="L257" s="626">
        <v>9200</v>
      </c>
      <c r="M257" s="723"/>
      <c r="O257" s="704"/>
      <c r="P257" s="704"/>
      <c r="Q257" s="704"/>
      <c r="S257" s="704">
        <f t="shared" si="28"/>
        <v>5924800</v>
      </c>
      <c r="T257" s="704">
        <f t="shared" si="29"/>
        <v>6823526.1798285348</v>
      </c>
    </row>
    <row r="258" spans="1:20" ht="16.5" customHeight="1">
      <c r="A258" s="708">
        <f t="shared" si="33"/>
        <v>253</v>
      </c>
      <c r="B258" s="291" t="s">
        <v>991</v>
      </c>
      <c r="C258" s="726">
        <v>42452</v>
      </c>
      <c r="D258" s="727" t="s">
        <v>509</v>
      </c>
      <c r="E258" s="803">
        <v>70</v>
      </c>
      <c r="F258" s="802">
        <v>37</v>
      </c>
      <c r="G258" s="802">
        <v>62</v>
      </c>
      <c r="H258" s="798">
        <f t="shared" si="27"/>
        <v>2.23</v>
      </c>
      <c r="I258" s="257">
        <v>34</v>
      </c>
      <c r="J258" s="709">
        <f t="shared" si="31"/>
        <v>75.819999999999993</v>
      </c>
      <c r="K258" s="709">
        <f t="shared" si="26"/>
        <v>18604.762778179724</v>
      </c>
      <c r="L258" s="626">
        <v>17000</v>
      </c>
      <c r="M258" s="723"/>
      <c r="O258" s="704"/>
      <c r="P258" s="704"/>
      <c r="Q258" s="704"/>
      <c r="S258" s="704">
        <f t="shared" si="28"/>
        <v>578000</v>
      </c>
      <c r="T258" s="704">
        <f t="shared" si="29"/>
        <v>632561.9344581106</v>
      </c>
    </row>
    <row r="259" spans="1:20" ht="16.5" customHeight="1">
      <c r="A259" s="708">
        <f t="shared" si="33"/>
        <v>254</v>
      </c>
      <c r="B259" s="291" t="s">
        <v>1466</v>
      </c>
      <c r="C259" s="726">
        <v>42452</v>
      </c>
      <c r="D259" s="727" t="s">
        <v>513</v>
      </c>
      <c r="E259" s="803">
        <v>41</v>
      </c>
      <c r="F259" s="802">
        <v>41</v>
      </c>
      <c r="G259" s="802">
        <v>25</v>
      </c>
      <c r="H259" s="798">
        <f t="shared" si="27"/>
        <v>1.17</v>
      </c>
      <c r="I259" s="257">
        <v>5000</v>
      </c>
      <c r="J259" s="709">
        <f t="shared" si="31"/>
        <v>5850</v>
      </c>
      <c r="K259" s="709">
        <f t="shared" si="26"/>
        <v>9761.2432513319618</v>
      </c>
      <c r="L259" s="626">
        <v>11300</v>
      </c>
      <c r="M259" s="723"/>
      <c r="O259" s="704"/>
      <c r="P259" s="704"/>
      <c r="Q259" s="704"/>
      <c r="S259" s="704">
        <f t="shared" si="28"/>
        <v>56500000</v>
      </c>
      <c r="T259" s="704">
        <f t="shared" si="29"/>
        <v>48806216.256659806</v>
      </c>
    </row>
    <row r="260" spans="1:20" ht="16.5" customHeight="1">
      <c r="A260" s="708">
        <f t="shared" si="33"/>
        <v>255</v>
      </c>
      <c r="B260" s="291" t="s">
        <v>676</v>
      </c>
      <c r="C260" s="726">
        <v>42453</v>
      </c>
      <c r="D260" s="727" t="s">
        <v>514</v>
      </c>
      <c r="E260" s="803">
        <v>33.5</v>
      </c>
      <c r="F260" s="802">
        <v>31.5</v>
      </c>
      <c r="G260" s="802">
        <v>24</v>
      </c>
      <c r="H260" s="798">
        <f t="shared" si="27"/>
        <v>0.79</v>
      </c>
      <c r="I260" s="257">
        <v>1500</v>
      </c>
      <c r="J260" s="709">
        <f t="shared" si="31"/>
        <v>1185</v>
      </c>
      <c r="K260" s="709">
        <f t="shared" si="26"/>
        <v>6590.924930386539</v>
      </c>
      <c r="L260" s="626">
        <v>6950</v>
      </c>
      <c r="M260" s="723"/>
      <c r="O260" s="704"/>
      <c r="P260" s="704"/>
      <c r="Q260" s="704"/>
      <c r="S260" s="704">
        <f t="shared" si="28"/>
        <v>10425000</v>
      </c>
      <c r="T260" s="704">
        <f t="shared" si="29"/>
        <v>9886387.3955798093</v>
      </c>
    </row>
    <row r="261" spans="1:20" ht="16.5" customHeight="1">
      <c r="A261" s="708">
        <f t="shared" si="33"/>
        <v>256</v>
      </c>
      <c r="B261" s="291" t="s">
        <v>926</v>
      </c>
      <c r="C261" s="726">
        <v>42453</v>
      </c>
      <c r="D261" s="727" t="s">
        <v>514</v>
      </c>
      <c r="E261" s="803">
        <v>33.5</v>
      </c>
      <c r="F261" s="802">
        <v>25</v>
      </c>
      <c r="G261" s="802">
        <v>26</v>
      </c>
      <c r="H261" s="798">
        <f t="shared" si="27"/>
        <v>0.66</v>
      </c>
      <c r="I261" s="257">
        <v>250</v>
      </c>
      <c r="J261" s="709">
        <f t="shared" si="31"/>
        <v>165</v>
      </c>
      <c r="K261" s="709">
        <f t="shared" si="26"/>
        <v>5506.3423469052104</v>
      </c>
      <c r="L261" s="626">
        <v>5900</v>
      </c>
      <c r="M261" s="723"/>
      <c r="O261" s="704"/>
      <c r="P261" s="704"/>
      <c r="Q261" s="704"/>
      <c r="S261" s="704">
        <f t="shared" si="28"/>
        <v>1475000</v>
      </c>
      <c r="T261" s="704">
        <f t="shared" si="29"/>
        <v>1376585.5867263025</v>
      </c>
    </row>
    <row r="262" spans="1:20" ht="16.5" customHeight="1">
      <c r="A262" s="708">
        <f t="shared" si="33"/>
        <v>257</v>
      </c>
      <c r="B262" s="291" t="s">
        <v>927</v>
      </c>
      <c r="C262" s="726">
        <v>42453</v>
      </c>
      <c r="D262" s="727" t="s">
        <v>514</v>
      </c>
      <c r="E262" s="803">
        <v>30.5</v>
      </c>
      <c r="F262" s="802">
        <v>23</v>
      </c>
      <c r="G262" s="802">
        <v>31</v>
      </c>
      <c r="H262" s="798">
        <f t="shared" si="27"/>
        <v>0.64</v>
      </c>
      <c r="I262" s="257">
        <v>250</v>
      </c>
      <c r="J262" s="709">
        <f t="shared" si="31"/>
        <v>160</v>
      </c>
      <c r="K262" s="709">
        <f t="shared" ref="K262:K271" si="34">H262*$R$43</f>
        <v>5339.4834879080827</v>
      </c>
      <c r="L262" s="626">
        <v>6000</v>
      </c>
      <c r="M262" s="723"/>
      <c r="O262" s="704"/>
      <c r="P262" s="704"/>
      <c r="Q262" s="704"/>
      <c r="S262" s="704">
        <f t="shared" si="28"/>
        <v>1500000</v>
      </c>
      <c r="T262" s="704">
        <f t="shared" si="29"/>
        <v>1334870.8719770208</v>
      </c>
    </row>
    <row r="263" spans="1:20" ht="16.5" customHeight="1">
      <c r="A263" s="708">
        <f t="shared" si="33"/>
        <v>258</v>
      </c>
      <c r="B263" s="291" t="s">
        <v>640</v>
      </c>
      <c r="C263" s="726">
        <v>42454</v>
      </c>
      <c r="D263" s="727" t="s">
        <v>516</v>
      </c>
      <c r="E263" s="803">
        <v>80</v>
      </c>
      <c r="F263" s="802">
        <v>60</v>
      </c>
      <c r="G263" s="802">
        <v>50</v>
      </c>
      <c r="H263" s="798">
        <f t="shared" ref="H263:H271" si="35">IF(G263&lt;&gt;"",ROUND(((E263+F263)*2+5)*(F263+G263+3)/10000,2),ROUND(E263*F263/10000,2))</f>
        <v>3.22</v>
      </c>
      <c r="I263" s="257">
        <v>150</v>
      </c>
      <c r="J263" s="709">
        <f t="shared" si="31"/>
        <v>483.00000000000006</v>
      </c>
      <c r="K263" s="709">
        <f t="shared" si="34"/>
        <v>26864.276298537541</v>
      </c>
      <c r="L263" s="626">
        <v>22750</v>
      </c>
      <c r="M263" s="723"/>
      <c r="O263" s="704"/>
      <c r="P263" s="704"/>
      <c r="Q263" s="704"/>
      <c r="S263" s="704">
        <f t="shared" ref="S263:S270" si="36">I263*L263</f>
        <v>3412500</v>
      </c>
      <c r="T263" s="704">
        <f t="shared" ref="T263:T271" si="37">I263*K263</f>
        <v>4029641.444780631</v>
      </c>
    </row>
    <row r="264" spans="1:20" ht="16.5" customHeight="1">
      <c r="A264" s="708">
        <f t="shared" si="33"/>
        <v>259</v>
      </c>
      <c r="B264" s="291" t="s">
        <v>466</v>
      </c>
      <c r="C264" s="726">
        <v>42454</v>
      </c>
      <c r="D264" s="727" t="s">
        <v>517</v>
      </c>
      <c r="E264" s="803">
        <v>37.5</v>
      </c>
      <c r="F264" s="802">
        <v>25.3</v>
      </c>
      <c r="G264" s="802">
        <v>23.9</v>
      </c>
      <c r="H264" s="798">
        <f t="shared" si="35"/>
        <v>0.68</v>
      </c>
      <c r="I264" s="257">
        <v>1807</v>
      </c>
      <c r="J264" s="709">
        <f t="shared" si="31"/>
        <v>1228.76</v>
      </c>
      <c r="K264" s="709">
        <f t="shared" si="34"/>
        <v>5673.2012059023382</v>
      </c>
      <c r="L264" s="626">
        <v>5900</v>
      </c>
      <c r="M264" s="723"/>
      <c r="O264" s="704"/>
      <c r="P264" s="704"/>
      <c r="Q264" s="704"/>
      <c r="S264" s="704">
        <f t="shared" si="36"/>
        <v>10661300</v>
      </c>
      <c r="T264" s="704">
        <f t="shared" si="37"/>
        <v>10251474.579065526</v>
      </c>
    </row>
    <row r="265" spans="1:20" ht="16.5" customHeight="1">
      <c r="A265" s="708">
        <f t="shared" si="33"/>
        <v>260</v>
      </c>
      <c r="B265" s="291" t="s">
        <v>992</v>
      </c>
      <c r="C265" s="726">
        <v>42454</v>
      </c>
      <c r="D265" s="727" t="s">
        <v>518</v>
      </c>
      <c r="E265" s="803">
        <v>59</v>
      </c>
      <c r="F265" s="802">
        <v>59</v>
      </c>
      <c r="G265" s="802">
        <v>18</v>
      </c>
      <c r="H265" s="798">
        <f t="shared" si="35"/>
        <v>1.93</v>
      </c>
      <c r="I265" s="257">
        <v>205</v>
      </c>
      <c r="J265" s="709">
        <f t="shared" si="31"/>
        <v>395.65</v>
      </c>
      <c r="K265" s="709">
        <f t="shared" si="34"/>
        <v>16101.879893222811</v>
      </c>
      <c r="L265" s="626">
        <v>14000</v>
      </c>
      <c r="M265" s="723"/>
      <c r="O265" s="704"/>
      <c r="P265" s="704"/>
      <c r="Q265" s="704"/>
      <c r="S265" s="704">
        <f t="shared" si="36"/>
        <v>2870000</v>
      </c>
      <c r="T265" s="704">
        <f t="shared" si="37"/>
        <v>3300885.3781106761</v>
      </c>
    </row>
    <row r="266" spans="1:20" ht="16.5" customHeight="1">
      <c r="A266" s="708">
        <f t="shared" si="33"/>
        <v>261</v>
      </c>
      <c r="B266" s="291" t="s">
        <v>1232</v>
      </c>
      <c r="C266" s="726">
        <v>42454</v>
      </c>
      <c r="D266" s="727" t="s">
        <v>518</v>
      </c>
      <c r="E266" s="803">
        <v>30</v>
      </c>
      <c r="F266" s="802">
        <v>37</v>
      </c>
      <c r="G266" s="802"/>
      <c r="H266" s="798">
        <f t="shared" si="35"/>
        <v>0.11</v>
      </c>
      <c r="I266" s="257">
        <v>1030</v>
      </c>
      <c r="J266" s="709">
        <f t="shared" si="31"/>
        <v>113.3</v>
      </c>
      <c r="K266" s="709">
        <f t="shared" si="34"/>
        <v>917.72372448420163</v>
      </c>
      <c r="L266" s="626">
        <v>5300</v>
      </c>
      <c r="M266" s="723"/>
      <c r="O266" s="704"/>
      <c r="P266" s="704"/>
      <c r="Q266" s="704"/>
      <c r="S266" s="704">
        <f t="shared" si="36"/>
        <v>5459000</v>
      </c>
      <c r="T266" s="704">
        <f t="shared" si="37"/>
        <v>945255.43621872773</v>
      </c>
    </row>
    <row r="267" spans="1:20" ht="16.5" customHeight="1">
      <c r="A267" s="708">
        <f t="shared" si="33"/>
        <v>262</v>
      </c>
      <c r="B267" s="291" t="s">
        <v>1474</v>
      </c>
      <c r="C267" s="726">
        <v>42455</v>
      </c>
      <c r="D267" s="727" t="s">
        <v>519</v>
      </c>
      <c r="E267" s="803">
        <v>49</v>
      </c>
      <c r="F267" s="802">
        <v>38</v>
      </c>
      <c r="G267" s="802">
        <v>12</v>
      </c>
      <c r="H267" s="798">
        <f t="shared" si="35"/>
        <v>0.95</v>
      </c>
      <c r="I267" s="257">
        <v>507</v>
      </c>
      <c r="J267" s="709">
        <f t="shared" si="31"/>
        <v>481.65</v>
      </c>
      <c r="K267" s="709">
        <f t="shared" si="34"/>
        <v>7925.7958023635592</v>
      </c>
      <c r="L267" s="626">
        <v>10500</v>
      </c>
      <c r="M267" s="723"/>
      <c r="O267" s="704"/>
      <c r="P267" s="704"/>
      <c r="Q267" s="704"/>
      <c r="S267" s="704">
        <f>I267*L267</f>
        <v>5323500</v>
      </c>
      <c r="T267" s="704">
        <f>I267*K267</f>
        <v>4018378.4717983245</v>
      </c>
    </row>
    <row r="268" spans="1:20" ht="16.5" customHeight="1">
      <c r="A268" s="708">
        <f t="shared" si="33"/>
        <v>263</v>
      </c>
      <c r="B268" s="291" t="s">
        <v>993</v>
      </c>
      <c r="C268" s="726">
        <v>42455</v>
      </c>
      <c r="D268" s="727" t="s">
        <v>520</v>
      </c>
      <c r="E268" s="803">
        <v>72</v>
      </c>
      <c r="F268" s="802">
        <v>51.5</v>
      </c>
      <c r="G268" s="802">
        <v>40</v>
      </c>
      <c r="H268" s="798">
        <f t="shared" si="35"/>
        <v>2.38</v>
      </c>
      <c r="I268" s="257">
        <v>220</v>
      </c>
      <c r="J268" s="709">
        <f t="shared" si="31"/>
        <v>523.6</v>
      </c>
      <c r="K268" s="709">
        <f t="shared" si="34"/>
        <v>19856.204220658179</v>
      </c>
      <c r="L268" s="626">
        <v>7900</v>
      </c>
      <c r="M268" s="723"/>
      <c r="O268" s="704"/>
      <c r="P268" s="704"/>
      <c r="Q268" s="704"/>
      <c r="S268" s="704">
        <f t="shared" si="36"/>
        <v>1738000</v>
      </c>
      <c r="T268" s="704">
        <f t="shared" si="37"/>
        <v>4368364.9285447998</v>
      </c>
    </row>
    <row r="269" spans="1:20" ht="16.5" customHeight="1">
      <c r="A269" s="708">
        <f>IF(B269&lt;&gt;"",A268+1,"")</f>
        <v>264</v>
      </c>
      <c r="B269" s="291" t="s">
        <v>1468</v>
      </c>
      <c r="C269" s="726">
        <v>42455</v>
      </c>
      <c r="D269" s="727" t="s">
        <v>522</v>
      </c>
      <c r="E269" s="803">
        <v>29</v>
      </c>
      <c r="F269" s="802">
        <v>18</v>
      </c>
      <c r="G269" s="802">
        <v>18.8</v>
      </c>
      <c r="H269" s="798">
        <f t="shared" si="35"/>
        <v>0.39</v>
      </c>
      <c r="I269" s="257">
        <v>3000</v>
      </c>
      <c r="J269" s="709">
        <f t="shared" si="31"/>
        <v>1170</v>
      </c>
      <c r="K269" s="709">
        <f t="shared" si="34"/>
        <v>3253.7477504439876</v>
      </c>
      <c r="L269" s="626">
        <v>5200</v>
      </c>
      <c r="M269" s="723"/>
      <c r="O269" s="704"/>
      <c r="P269" s="704"/>
      <c r="Q269" s="704"/>
      <c r="S269" s="704">
        <f t="shared" si="36"/>
        <v>15600000</v>
      </c>
      <c r="T269" s="704">
        <f t="shared" si="37"/>
        <v>9761243.2513319626</v>
      </c>
    </row>
    <row r="270" spans="1:20" ht="16.5" customHeight="1">
      <c r="A270" s="708">
        <f>IF(B270&lt;&gt;"",A269+1,"")</f>
        <v>265</v>
      </c>
      <c r="B270" s="291" t="s">
        <v>994</v>
      </c>
      <c r="C270" s="726">
        <v>42455</v>
      </c>
      <c r="D270" s="727" t="s">
        <v>523</v>
      </c>
      <c r="E270" s="803">
        <v>48</v>
      </c>
      <c r="F270" s="802">
        <v>24</v>
      </c>
      <c r="G270" s="802">
        <v>27.5</v>
      </c>
      <c r="H270" s="798">
        <f t="shared" si="35"/>
        <v>0.81</v>
      </c>
      <c r="I270" s="257">
        <v>3750</v>
      </c>
      <c r="J270" s="709">
        <f t="shared" si="31"/>
        <v>3037.5</v>
      </c>
      <c r="K270" s="709">
        <f t="shared" si="34"/>
        <v>6757.7837893836668</v>
      </c>
      <c r="L270" s="626">
        <v>5600</v>
      </c>
      <c r="M270" s="723"/>
      <c r="O270" s="704"/>
      <c r="P270" s="704"/>
      <c r="Q270" s="704"/>
      <c r="S270" s="704">
        <f t="shared" si="36"/>
        <v>21000000</v>
      </c>
      <c r="T270" s="704">
        <f t="shared" si="37"/>
        <v>25341689.21018875</v>
      </c>
    </row>
    <row r="271" spans="1:20" ht="16.5" customHeight="1">
      <c r="A271" s="708">
        <f>IF(B271&lt;&gt;"",A270+1,"")</f>
        <v>266</v>
      </c>
      <c r="B271" s="291" t="s">
        <v>724</v>
      </c>
      <c r="C271" s="726">
        <v>42456</v>
      </c>
      <c r="D271" s="727" t="s">
        <v>524</v>
      </c>
      <c r="E271" s="803">
        <v>37</v>
      </c>
      <c r="F271" s="802">
        <v>46</v>
      </c>
      <c r="G271" s="802"/>
      <c r="H271" s="798">
        <f t="shared" si="35"/>
        <v>0.17</v>
      </c>
      <c r="I271" s="257">
        <v>1100</v>
      </c>
      <c r="J271" s="709">
        <f t="shared" si="31"/>
        <v>187</v>
      </c>
      <c r="K271" s="709">
        <f t="shared" si="34"/>
        <v>1418.3003014755845</v>
      </c>
      <c r="L271" s="626">
        <v>1300</v>
      </c>
      <c r="M271" s="723"/>
      <c r="O271" s="704"/>
      <c r="P271" s="704"/>
      <c r="Q271" s="704"/>
      <c r="S271" s="704">
        <f>I271*L271</f>
        <v>1430000</v>
      </c>
      <c r="T271" s="704">
        <f t="shared" si="37"/>
        <v>1560130.3316231431</v>
      </c>
    </row>
    <row r="272" spans="1:20" ht="16.5" customHeight="1">
      <c r="A272" s="708"/>
      <c r="B272" s="291"/>
      <c r="C272" s="791"/>
      <c r="D272" s="728"/>
      <c r="E272" s="803"/>
      <c r="F272" s="802"/>
      <c r="G272" s="802"/>
      <c r="H272" s="709"/>
      <c r="I272" s="257"/>
      <c r="J272" s="709"/>
      <c r="K272" s="709"/>
      <c r="L272" s="626"/>
      <c r="M272" s="723"/>
      <c r="O272" s="704"/>
      <c r="P272" s="704"/>
      <c r="Q272" s="704"/>
      <c r="S272" s="729"/>
    </row>
    <row r="273" spans="1:20" ht="16.5" customHeight="1">
      <c r="A273" s="710"/>
      <c r="B273" s="711" t="s">
        <v>243</v>
      </c>
      <c r="C273" s="730"/>
      <c r="D273" s="731"/>
      <c r="E273" s="796"/>
      <c r="F273" s="796"/>
      <c r="G273" s="796"/>
      <c r="H273" s="799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3"/>
      <c r="O273" s="704"/>
      <c r="P273" s="704"/>
      <c r="Q273" s="704"/>
      <c r="R273" s="922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29" customFormat="1" ht="16.5" customHeight="1">
      <c r="A274" s="712"/>
      <c r="B274" s="713"/>
      <c r="C274" s="732"/>
      <c r="D274" s="733"/>
      <c r="E274" s="800"/>
      <c r="F274" s="800"/>
      <c r="G274" s="800"/>
      <c r="H274" s="706"/>
      <c r="I274" s="706"/>
      <c r="J274" s="706"/>
      <c r="K274" s="706"/>
      <c r="L274" s="719"/>
      <c r="M274" s="626"/>
      <c r="N274" s="704"/>
      <c r="O274" s="704"/>
      <c r="P274" s="704"/>
      <c r="Q274" s="704"/>
      <c r="R274" s="704"/>
      <c r="S274" s="705"/>
    </row>
    <row r="275" spans="1:20" s="705" customFormat="1" ht="16.5" customHeight="1">
      <c r="A275" s="704"/>
      <c r="B275" s="704"/>
      <c r="C275" s="732"/>
      <c r="D275" s="733"/>
      <c r="E275" s="804"/>
      <c r="F275" s="804"/>
      <c r="G275" s="805"/>
      <c r="H275" s="715"/>
      <c r="I275" s="706"/>
      <c r="J275" s="706"/>
      <c r="K275" s="704"/>
      <c r="L275" s="719"/>
      <c r="M275" s="719"/>
      <c r="N275" s="704"/>
      <c r="O275" s="704"/>
      <c r="P275" s="704"/>
      <c r="Q275" s="704"/>
      <c r="R275" s="704"/>
      <c r="S275" s="704"/>
    </row>
    <row r="276" spans="1:20" s="705" customFormat="1" ht="14.25" hidden="1">
      <c r="A276" s="535" t="str">
        <f>TH!$A$1</f>
        <v>Đơn vị: CÔNG TY TNHH SX TM KIM DUNG PHÁT</v>
      </c>
      <c r="C276" s="732"/>
      <c r="D276" s="733"/>
      <c r="E276" s="754"/>
      <c r="F276" s="754"/>
      <c r="G276" s="754"/>
      <c r="H276" s="287"/>
      <c r="I276" s="563"/>
      <c r="J276" s="563"/>
      <c r="K276" s="287"/>
      <c r="L276" s="719"/>
      <c r="M276" s="719"/>
      <c r="N276" s="704"/>
      <c r="O276" s="704"/>
      <c r="P276" s="704"/>
      <c r="Q276" s="704"/>
      <c r="R276" s="704"/>
      <c r="S276" s="704"/>
    </row>
    <row r="277" spans="1:20">
      <c r="A277" s="706" t="s">
        <v>1303</v>
      </c>
      <c r="B277" s="706"/>
      <c r="C277" s="732"/>
      <c r="D277" s="733"/>
      <c r="E277" s="800"/>
      <c r="F277" s="800"/>
      <c r="G277" s="800"/>
      <c r="H277" s="706"/>
      <c r="I277" s="706"/>
      <c r="J277" s="706"/>
      <c r="K277" s="706"/>
      <c r="O277" s="704"/>
      <c r="P277" s="704"/>
      <c r="Q277" s="704"/>
    </row>
    <row r="278" spans="1:20" ht="18" customHeight="1">
      <c r="A278" s="706"/>
      <c r="B278" s="707"/>
      <c r="C278" s="732"/>
      <c r="D278" s="733"/>
      <c r="E278" s="797"/>
      <c r="F278" s="797"/>
      <c r="G278" s="797"/>
      <c r="H278" s="707"/>
      <c r="I278" s="720"/>
      <c r="J278" s="720"/>
      <c r="K278" s="707"/>
      <c r="M278" s="719"/>
      <c r="O278" s="704"/>
      <c r="P278" s="704"/>
      <c r="Q278" s="704"/>
    </row>
    <row r="279" spans="1:20" ht="18.75" customHeight="1">
      <c r="A279" s="1138" t="s">
        <v>35</v>
      </c>
      <c r="B279" s="1138" t="s">
        <v>239</v>
      </c>
      <c r="C279" s="1138" t="s">
        <v>753</v>
      </c>
      <c r="D279" s="1138" t="s">
        <v>754</v>
      </c>
      <c r="E279" s="1139" t="s">
        <v>755</v>
      </c>
      <c r="F279" s="1140"/>
      <c r="G279" s="1140"/>
      <c r="H279" s="1141"/>
      <c r="I279" s="1138" t="s">
        <v>240</v>
      </c>
      <c r="J279" s="1145" t="s">
        <v>765</v>
      </c>
      <c r="K279" s="1138" t="s">
        <v>759</v>
      </c>
      <c r="L279" s="416"/>
      <c r="M279" s="719"/>
      <c r="N279" s="1138" t="s">
        <v>239</v>
      </c>
      <c r="O279" s="1138" t="s">
        <v>760</v>
      </c>
      <c r="P279" s="1138" t="s">
        <v>198</v>
      </c>
      <c r="Q279" s="1138" t="s">
        <v>241</v>
      </c>
      <c r="R279" s="1138" t="s">
        <v>242</v>
      </c>
      <c r="S279" s="417"/>
    </row>
    <row r="280" spans="1:20" ht="18.75" customHeight="1">
      <c r="A280" s="1138"/>
      <c r="B280" s="1138"/>
      <c r="C280" s="1138"/>
      <c r="D280" s="1138"/>
      <c r="E280" s="756" t="s">
        <v>756</v>
      </c>
      <c r="F280" s="756" t="s">
        <v>757</v>
      </c>
      <c r="G280" s="756" t="s">
        <v>758</v>
      </c>
      <c r="H280" s="415" t="s">
        <v>763</v>
      </c>
      <c r="I280" s="1138"/>
      <c r="J280" s="1146"/>
      <c r="K280" s="1138"/>
      <c r="L280" s="416"/>
      <c r="M280" s="719"/>
      <c r="N280" s="1138"/>
      <c r="O280" s="1138"/>
      <c r="P280" s="1138"/>
      <c r="Q280" s="1138"/>
      <c r="R280" s="1138"/>
      <c r="S280" s="417"/>
    </row>
    <row r="281" spans="1:20" s="417" customFormat="1" ht="17.25" customHeight="1">
      <c r="A281" s="760">
        <f t="shared" ref="A281:A344" si="38">IF(B281&lt;&gt;"",ROW()-171,"")</f>
        <v>110</v>
      </c>
      <c r="B281" s="792" t="s">
        <v>1341</v>
      </c>
      <c r="C281" s="724">
        <v>42464</v>
      </c>
      <c r="D281" s="725" t="s">
        <v>527</v>
      </c>
      <c r="E281" s="806">
        <v>38</v>
      </c>
      <c r="F281" s="806">
        <v>37</v>
      </c>
      <c r="G281" s="806">
        <v>30</v>
      </c>
      <c r="H281" s="798">
        <f>IF(G281&lt;&gt;"",ROUND(((E281+F281)*2+5)*(F281+G281+3)/10000,2),ROUND(E281*F281/10000,2))</f>
        <v>1.0900000000000001</v>
      </c>
      <c r="I281" s="740">
        <v>300</v>
      </c>
      <c r="J281" s="709">
        <f t="shared" ref="J281" si="39">H281*I281</f>
        <v>327</v>
      </c>
      <c r="K281" s="709">
        <f>H281*$R$311</f>
        <v>9291.2001617002134</v>
      </c>
      <c r="L281" s="626">
        <v>15300</v>
      </c>
      <c r="M281" s="416"/>
      <c r="N281" s="419" t="s">
        <v>853</v>
      </c>
      <c r="O281" s="191">
        <v>42461</v>
      </c>
      <c r="P281" s="757">
        <v>300</v>
      </c>
      <c r="Q281" s="743">
        <v>9893</v>
      </c>
      <c r="R281" s="8">
        <f t="shared" ref="R281:R282" si="40">ROUND(P281*Q281,0)</f>
        <v>2967900</v>
      </c>
      <c r="S281" s="704">
        <f>I281*L281</f>
        <v>4590000</v>
      </c>
      <c r="T281" s="903">
        <f>I281*K281</f>
        <v>2787360.0485100639</v>
      </c>
    </row>
    <row r="282" spans="1:20" s="417" customFormat="1" ht="17.25" customHeight="1">
      <c r="A282" s="741">
        <f t="shared" si="38"/>
        <v>111</v>
      </c>
      <c r="B282" s="291" t="s">
        <v>1474</v>
      </c>
      <c r="C282" s="724">
        <v>42467</v>
      </c>
      <c r="D282" s="725" t="s">
        <v>995</v>
      </c>
      <c r="E282" s="807">
        <v>49</v>
      </c>
      <c r="F282" s="808">
        <v>38</v>
      </c>
      <c r="G282" s="808">
        <v>12</v>
      </c>
      <c r="H282" s="798">
        <f t="shared" ref="H282:H345" si="41">IF(G282&lt;&gt;"",ROUND(((E282+F282)*2+5)*(F282+G282+3)/10000,2),ROUND(E282*F282/10000,2))</f>
        <v>0.95</v>
      </c>
      <c r="I282" s="257">
        <v>292</v>
      </c>
      <c r="J282" s="709">
        <f t="shared" ref="J282:J343" si="42">H282*I282</f>
        <v>277.39999999999998</v>
      </c>
      <c r="K282" s="709">
        <f t="shared" ref="K282:K344" si="43">H282*$R$311</f>
        <v>8097.8350033166989</v>
      </c>
      <c r="L282" s="626">
        <v>10500</v>
      </c>
      <c r="M282" s="416"/>
      <c r="N282" s="419" t="s">
        <v>856</v>
      </c>
      <c r="O282" s="191">
        <v>42461</v>
      </c>
      <c r="P282" s="757">
        <v>640</v>
      </c>
      <c r="Q282" s="743">
        <v>9207</v>
      </c>
      <c r="R282" s="8">
        <f t="shared" si="40"/>
        <v>5892480</v>
      </c>
      <c r="S282" s="704">
        <f t="shared" ref="S282:S345" si="44">I282*L282</f>
        <v>3066000</v>
      </c>
      <c r="T282" s="903">
        <f t="shared" ref="T282:T345" si="45">I282*K282</f>
        <v>2364567.8209684761</v>
      </c>
    </row>
    <row r="283" spans="1:20" ht="17.25" customHeight="1">
      <c r="A283" s="741">
        <f t="shared" si="38"/>
        <v>112</v>
      </c>
      <c r="B283" s="291" t="s">
        <v>1474</v>
      </c>
      <c r="C283" s="724">
        <v>42467</v>
      </c>
      <c r="D283" s="725" t="s">
        <v>995</v>
      </c>
      <c r="E283" s="807">
        <v>49</v>
      </c>
      <c r="F283" s="808">
        <v>38</v>
      </c>
      <c r="G283" s="808">
        <v>12</v>
      </c>
      <c r="H283" s="798">
        <f t="shared" si="41"/>
        <v>0.95</v>
      </c>
      <c r="I283" s="257">
        <v>486</v>
      </c>
      <c r="J283" s="709">
        <f t="shared" si="42"/>
        <v>461.7</v>
      </c>
      <c r="K283" s="709">
        <f t="shared" si="43"/>
        <v>8097.8350033166989</v>
      </c>
      <c r="L283" s="626">
        <v>10500</v>
      </c>
      <c r="M283" s="626"/>
      <c r="N283" s="192" t="s">
        <v>706</v>
      </c>
      <c r="O283" s="191">
        <v>42495</v>
      </c>
      <c r="P283" s="757">
        <v>6595</v>
      </c>
      <c r="Q283" s="743">
        <v>7600</v>
      </c>
      <c r="R283" s="8">
        <f t="shared" ref="R283:R294" si="46">ROUND(P283*Q283,0)</f>
        <v>50122000</v>
      </c>
      <c r="S283" s="704">
        <f t="shared" si="44"/>
        <v>5103000</v>
      </c>
      <c r="T283" s="903">
        <f t="shared" si="45"/>
        <v>3935547.8116119155</v>
      </c>
    </row>
    <row r="284" spans="1:20" ht="17.25" customHeight="1">
      <c r="A284" s="741">
        <f t="shared" si="38"/>
        <v>113</v>
      </c>
      <c r="B284" s="291" t="s">
        <v>1474</v>
      </c>
      <c r="C284" s="724">
        <v>42467</v>
      </c>
      <c r="D284" s="725" t="s">
        <v>995</v>
      </c>
      <c r="E284" s="807">
        <v>49</v>
      </c>
      <c r="F284" s="808">
        <v>38</v>
      </c>
      <c r="G284" s="808">
        <v>12</v>
      </c>
      <c r="H284" s="798">
        <f t="shared" si="41"/>
        <v>0.95</v>
      </c>
      <c r="I284" s="257">
        <v>303</v>
      </c>
      <c r="J284" s="709">
        <f t="shared" si="42"/>
        <v>287.84999999999997</v>
      </c>
      <c r="K284" s="709">
        <f t="shared" si="43"/>
        <v>8097.8350033166989</v>
      </c>
      <c r="L284" s="626">
        <v>10500</v>
      </c>
      <c r="M284" s="626"/>
      <c r="N284" s="291" t="s">
        <v>720</v>
      </c>
      <c r="O284" s="191">
        <v>42461</v>
      </c>
      <c r="P284" s="757">
        <v>18441</v>
      </c>
      <c r="Q284" s="743">
        <v>8600</v>
      </c>
      <c r="R284" s="8">
        <f t="shared" si="46"/>
        <v>158592600</v>
      </c>
      <c r="S284" s="704">
        <f t="shared" si="44"/>
        <v>3181500</v>
      </c>
      <c r="T284" s="903">
        <f t="shared" si="45"/>
        <v>2453644.0060049598</v>
      </c>
    </row>
    <row r="285" spans="1:20" ht="17.25" customHeight="1">
      <c r="A285" s="741">
        <f t="shared" si="38"/>
        <v>114</v>
      </c>
      <c r="B285" s="291" t="s">
        <v>996</v>
      </c>
      <c r="C285" s="724">
        <v>42467</v>
      </c>
      <c r="D285" s="725" t="s">
        <v>528</v>
      </c>
      <c r="E285" s="807">
        <v>29</v>
      </c>
      <c r="F285" s="808">
        <v>29</v>
      </c>
      <c r="G285" s="808">
        <v>33</v>
      </c>
      <c r="H285" s="798">
        <f t="shared" si="41"/>
        <v>0.79</v>
      </c>
      <c r="I285" s="257">
        <v>529</v>
      </c>
      <c r="J285" s="709">
        <f t="shared" si="42"/>
        <v>417.91</v>
      </c>
      <c r="K285" s="709">
        <f t="shared" si="43"/>
        <v>6733.9891080212556</v>
      </c>
      <c r="L285" s="626">
        <v>5900</v>
      </c>
      <c r="M285" s="626"/>
      <c r="N285" s="291" t="s">
        <v>710</v>
      </c>
      <c r="O285" s="191">
        <v>42464</v>
      </c>
      <c r="P285" s="757">
        <v>7293</v>
      </c>
      <c r="Q285" s="743">
        <v>9000</v>
      </c>
      <c r="R285" s="8">
        <f t="shared" si="46"/>
        <v>65637000</v>
      </c>
      <c r="S285" s="704">
        <f t="shared" si="44"/>
        <v>3121100</v>
      </c>
      <c r="T285" s="903">
        <f t="shared" si="45"/>
        <v>3562280.2381432443</v>
      </c>
    </row>
    <row r="286" spans="1:20" ht="17.25" customHeight="1">
      <c r="A286" s="741">
        <f t="shared" si="38"/>
        <v>115</v>
      </c>
      <c r="B286" s="291" t="s">
        <v>997</v>
      </c>
      <c r="C286" s="724">
        <v>42467</v>
      </c>
      <c r="D286" s="725" t="s">
        <v>528</v>
      </c>
      <c r="E286" s="807">
        <v>33</v>
      </c>
      <c r="F286" s="808">
        <v>33</v>
      </c>
      <c r="G286" s="808">
        <v>35.5</v>
      </c>
      <c r="H286" s="798">
        <f t="shared" si="41"/>
        <v>0.98</v>
      </c>
      <c r="I286" s="257">
        <v>497</v>
      </c>
      <c r="J286" s="709">
        <f t="shared" si="42"/>
        <v>487.06</v>
      </c>
      <c r="K286" s="709">
        <f t="shared" si="43"/>
        <v>8353.5561086845955</v>
      </c>
      <c r="L286" s="626">
        <v>9100</v>
      </c>
      <c r="M286" s="626"/>
      <c r="N286" s="192" t="s">
        <v>720</v>
      </c>
      <c r="O286" s="191">
        <v>42497</v>
      </c>
      <c r="P286" s="757">
        <v>1800</v>
      </c>
      <c r="Q286" s="743">
        <v>7200</v>
      </c>
      <c r="R286" s="8">
        <f t="shared" si="46"/>
        <v>12960000</v>
      </c>
      <c r="S286" s="704">
        <f t="shared" si="44"/>
        <v>4522700</v>
      </c>
      <c r="T286" s="903">
        <f t="shared" si="45"/>
        <v>4151717.3860162441</v>
      </c>
    </row>
    <row r="287" spans="1:20" ht="17.25" customHeight="1">
      <c r="A287" s="741">
        <f t="shared" si="38"/>
        <v>116</v>
      </c>
      <c r="B287" s="291" t="s">
        <v>987</v>
      </c>
      <c r="C287" s="724">
        <v>42467</v>
      </c>
      <c r="D287" s="725" t="s">
        <v>528</v>
      </c>
      <c r="E287" s="807">
        <v>35.5</v>
      </c>
      <c r="F287" s="808">
        <v>35.5</v>
      </c>
      <c r="G287" s="808">
        <v>23.5</v>
      </c>
      <c r="H287" s="798">
        <f t="shared" si="41"/>
        <v>0.91</v>
      </c>
      <c r="I287" s="257">
        <v>516</v>
      </c>
      <c r="J287" s="709">
        <f t="shared" si="42"/>
        <v>469.56</v>
      </c>
      <c r="K287" s="709">
        <f t="shared" si="43"/>
        <v>7756.8735294928383</v>
      </c>
      <c r="L287" s="626">
        <v>6800</v>
      </c>
      <c r="M287" s="626"/>
      <c r="N287" s="192" t="s">
        <v>720</v>
      </c>
      <c r="O287" s="191">
        <v>42497</v>
      </c>
      <c r="P287" s="757">
        <v>2033</v>
      </c>
      <c r="Q287" s="743">
        <v>7200</v>
      </c>
      <c r="R287" s="8">
        <f t="shared" si="46"/>
        <v>14637600</v>
      </c>
      <c r="S287" s="704">
        <f t="shared" si="44"/>
        <v>3508800</v>
      </c>
      <c r="T287" s="903">
        <f t="shared" si="45"/>
        <v>4002546.7412183047</v>
      </c>
    </row>
    <row r="288" spans="1:20" ht="17.25" customHeight="1">
      <c r="A288" s="741">
        <f t="shared" si="38"/>
        <v>117</v>
      </c>
      <c r="B288" s="291" t="s">
        <v>466</v>
      </c>
      <c r="C288" s="724">
        <v>42468</v>
      </c>
      <c r="D288" s="725" t="s">
        <v>530</v>
      </c>
      <c r="E288" s="807">
        <v>37.5</v>
      </c>
      <c r="F288" s="808">
        <v>25.3</v>
      </c>
      <c r="G288" s="808">
        <v>23.9</v>
      </c>
      <c r="H288" s="798">
        <f t="shared" si="41"/>
        <v>0.68</v>
      </c>
      <c r="I288" s="257">
        <v>652</v>
      </c>
      <c r="J288" s="709">
        <f t="shared" si="42"/>
        <v>443.36</v>
      </c>
      <c r="K288" s="709">
        <f t="shared" si="43"/>
        <v>5796.3450550056377</v>
      </c>
      <c r="L288" s="626">
        <v>7300</v>
      </c>
      <c r="M288" s="626"/>
      <c r="N288" s="291" t="s">
        <v>712</v>
      </c>
      <c r="O288" s="191">
        <v>42535</v>
      </c>
      <c r="P288" s="757">
        <v>33077</v>
      </c>
      <c r="Q288" s="743">
        <v>8200</v>
      </c>
      <c r="R288" s="8">
        <f t="shared" si="46"/>
        <v>271231400</v>
      </c>
      <c r="S288" s="704">
        <f t="shared" si="44"/>
        <v>4759600</v>
      </c>
      <c r="T288" s="903">
        <f t="shared" si="45"/>
        <v>3779216.9758636756</v>
      </c>
    </row>
    <row r="289" spans="1:20" ht="17.25" customHeight="1">
      <c r="A289" s="741">
        <f t="shared" si="38"/>
        <v>118</v>
      </c>
      <c r="B289" s="291" t="s">
        <v>466</v>
      </c>
      <c r="C289" s="724">
        <v>42468</v>
      </c>
      <c r="D289" s="725" t="s">
        <v>530</v>
      </c>
      <c r="E289" s="807">
        <v>37.5</v>
      </c>
      <c r="F289" s="808">
        <v>25.3</v>
      </c>
      <c r="G289" s="808">
        <v>23.9</v>
      </c>
      <c r="H289" s="798">
        <f t="shared" si="41"/>
        <v>0.68</v>
      </c>
      <c r="I289" s="257">
        <v>1495</v>
      </c>
      <c r="J289" s="709">
        <f t="shared" si="42"/>
        <v>1016.6</v>
      </c>
      <c r="K289" s="709">
        <f t="shared" si="43"/>
        <v>5796.3450550056377</v>
      </c>
      <c r="L289" s="626">
        <v>5900</v>
      </c>
      <c r="M289" s="626"/>
      <c r="N289" s="192" t="s">
        <v>710</v>
      </c>
      <c r="O289" s="191">
        <v>42535</v>
      </c>
      <c r="P289" s="757">
        <f>4501+700</f>
        <v>5201</v>
      </c>
      <c r="Q289" s="743">
        <v>9000</v>
      </c>
      <c r="R289" s="8">
        <f t="shared" si="46"/>
        <v>46809000</v>
      </c>
      <c r="S289" s="704">
        <f t="shared" si="44"/>
        <v>8820500</v>
      </c>
      <c r="T289" s="903">
        <f t="shared" si="45"/>
        <v>8665535.8572334293</v>
      </c>
    </row>
    <row r="290" spans="1:20" ht="17.25" customHeight="1">
      <c r="A290" s="741">
        <f t="shared" si="38"/>
        <v>119</v>
      </c>
      <c r="B290" s="291" t="s">
        <v>668</v>
      </c>
      <c r="C290" s="724">
        <v>42468</v>
      </c>
      <c r="D290" s="725" t="s">
        <v>532</v>
      </c>
      <c r="E290" s="807">
        <v>52</v>
      </c>
      <c r="F290" s="808">
        <v>24</v>
      </c>
      <c r="G290" s="808">
        <v>24</v>
      </c>
      <c r="H290" s="798">
        <f t="shared" si="41"/>
        <v>0.8</v>
      </c>
      <c r="I290" s="257">
        <v>210</v>
      </c>
      <c r="J290" s="709">
        <f t="shared" si="42"/>
        <v>168</v>
      </c>
      <c r="K290" s="709">
        <f t="shared" si="43"/>
        <v>6819.2294764772205</v>
      </c>
      <c r="L290" s="626">
        <v>6000</v>
      </c>
      <c r="M290" s="626"/>
      <c r="N290" s="192" t="s">
        <v>706</v>
      </c>
      <c r="O290" s="191">
        <v>42522</v>
      </c>
      <c r="P290" s="757">
        <v>5000</v>
      </c>
      <c r="Q290" s="743">
        <v>7600</v>
      </c>
      <c r="R290" s="8">
        <f t="shared" si="46"/>
        <v>38000000</v>
      </c>
      <c r="S290" s="704">
        <f t="shared" si="44"/>
        <v>1260000</v>
      </c>
      <c r="T290" s="903">
        <f t="shared" si="45"/>
        <v>1432038.1900602162</v>
      </c>
    </row>
    <row r="291" spans="1:20" ht="17.25" customHeight="1">
      <c r="A291" s="741">
        <f t="shared" si="38"/>
        <v>120</v>
      </c>
      <c r="B291" s="291" t="s">
        <v>669</v>
      </c>
      <c r="C291" s="724">
        <v>42468</v>
      </c>
      <c r="D291" s="725" t="s">
        <v>532</v>
      </c>
      <c r="E291" s="807">
        <v>52</v>
      </c>
      <c r="F291" s="808">
        <v>27</v>
      </c>
      <c r="G291" s="808">
        <v>27</v>
      </c>
      <c r="H291" s="798">
        <f t="shared" si="41"/>
        <v>0.93</v>
      </c>
      <c r="I291" s="257">
        <v>320</v>
      </c>
      <c r="J291" s="709">
        <f t="shared" si="42"/>
        <v>297.60000000000002</v>
      </c>
      <c r="K291" s="709">
        <f t="shared" si="43"/>
        <v>7927.3542664047691</v>
      </c>
      <c r="L291" s="626">
        <v>6600</v>
      </c>
      <c r="M291" s="626"/>
      <c r="N291" s="192"/>
      <c r="O291" s="726"/>
      <c r="P291" s="757"/>
      <c r="Q291" s="743"/>
      <c r="R291" s="8">
        <f t="shared" si="46"/>
        <v>0</v>
      </c>
      <c r="S291" s="704">
        <f t="shared" si="44"/>
        <v>2112000</v>
      </c>
      <c r="T291" s="903">
        <f t="shared" si="45"/>
        <v>2536753.3652495262</v>
      </c>
    </row>
    <row r="292" spans="1:20" ht="17.25" customHeight="1">
      <c r="A292" s="741">
        <f t="shared" si="38"/>
        <v>121</v>
      </c>
      <c r="B292" s="291" t="s">
        <v>1465</v>
      </c>
      <c r="C292" s="724">
        <v>42468</v>
      </c>
      <c r="D292" s="725" t="s">
        <v>533</v>
      </c>
      <c r="E292" s="807">
        <v>41</v>
      </c>
      <c r="F292" s="808">
        <v>39</v>
      </c>
      <c r="G292" s="808">
        <v>20</v>
      </c>
      <c r="H292" s="798">
        <f t="shared" si="41"/>
        <v>1.02</v>
      </c>
      <c r="I292" s="257">
        <v>200</v>
      </c>
      <c r="J292" s="709">
        <f t="shared" si="42"/>
        <v>204</v>
      </c>
      <c r="K292" s="709">
        <f t="shared" si="43"/>
        <v>8694.5175825084552</v>
      </c>
      <c r="L292" s="626">
        <v>10900</v>
      </c>
      <c r="M292" s="626"/>
      <c r="N292" s="192"/>
      <c r="O292" s="726"/>
      <c r="P292" s="757"/>
      <c r="Q292" s="743"/>
      <c r="R292" s="8">
        <f t="shared" si="46"/>
        <v>0</v>
      </c>
      <c r="S292" s="704">
        <f t="shared" si="44"/>
        <v>2180000</v>
      </c>
      <c r="T292" s="903">
        <f t="shared" si="45"/>
        <v>1738903.516501691</v>
      </c>
    </row>
    <row r="293" spans="1:20" ht="17.25" customHeight="1">
      <c r="A293" s="741">
        <f t="shared" si="38"/>
        <v>122</v>
      </c>
      <c r="B293" s="291" t="s">
        <v>1466</v>
      </c>
      <c r="C293" s="724">
        <v>42468</v>
      </c>
      <c r="D293" s="725" t="s">
        <v>533</v>
      </c>
      <c r="E293" s="807">
        <v>41</v>
      </c>
      <c r="F293" s="808">
        <v>41</v>
      </c>
      <c r="G293" s="808">
        <v>25</v>
      </c>
      <c r="H293" s="798">
        <f t="shared" si="41"/>
        <v>1.17</v>
      </c>
      <c r="I293" s="257">
        <v>200</v>
      </c>
      <c r="J293" s="709">
        <f t="shared" si="42"/>
        <v>234</v>
      </c>
      <c r="K293" s="709">
        <f t="shared" si="43"/>
        <v>9973.1231093479346</v>
      </c>
      <c r="L293" s="626">
        <v>11700</v>
      </c>
      <c r="M293" s="626"/>
      <c r="N293" s="291"/>
      <c r="O293" s="726"/>
      <c r="P293" s="757"/>
      <c r="Q293" s="743"/>
      <c r="R293" s="8">
        <f t="shared" si="46"/>
        <v>0</v>
      </c>
      <c r="S293" s="704">
        <f t="shared" si="44"/>
        <v>2340000</v>
      </c>
      <c r="T293" s="903">
        <f t="shared" si="45"/>
        <v>1994624.6218695869</v>
      </c>
    </row>
    <row r="294" spans="1:20" ht="17.25" customHeight="1">
      <c r="A294" s="741">
        <f t="shared" si="38"/>
        <v>123</v>
      </c>
      <c r="B294" s="291" t="s">
        <v>1337</v>
      </c>
      <c r="C294" s="724">
        <v>42468</v>
      </c>
      <c r="D294" s="725" t="s">
        <v>533</v>
      </c>
      <c r="E294" s="803">
        <v>43</v>
      </c>
      <c r="F294" s="802">
        <v>42</v>
      </c>
      <c r="G294" s="802">
        <v>26</v>
      </c>
      <c r="H294" s="798">
        <f t="shared" si="41"/>
        <v>1.24</v>
      </c>
      <c r="I294" s="257">
        <v>200</v>
      </c>
      <c r="J294" s="709">
        <f t="shared" si="42"/>
        <v>248</v>
      </c>
      <c r="K294" s="709">
        <f t="shared" si="43"/>
        <v>10569.805688539691</v>
      </c>
      <c r="L294" s="626">
        <v>12400</v>
      </c>
      <c r="M294" s="626"/>
      <c r="N294" s="291"/>
      <c r="O294" s="726"/>
      <c r="P294" s="757"/>
      <c r="Q294" s="743"/>
      <c r="R294" s="8">
        <f t="shared" si="46"/>
        <v>0</v>
      </c>
      <c r="S294" s="704">
        <f t="shared" si="44"/>
        <v>2480000</v>
      </c>
      <c r="T294" s="903">
        <f t="shared" si="45"/>
        <v>2113961.137707938</v>
      </c>
    </row>
    <row r="295" spans="1:20" ht="17.25" customHeight="1">
      <c r="A295" s="741">
        <f t="shared" si="38"/>
        <v>124</v>
      </c>
      <c r="B295" s="291" t="s">
        <v>1338</v>
      </c>
      <c r="C295" s="724">
        <v>42468</v>
      </c>
      <c r="D295" s="725" t="s">
        <v>533</v>
      </c>
      <c r="E295" s="803">
        <v>49</v>
      </c>
      <c r="F295" s="802">
        <v>47</v>
      </c>
      <c r="G295" s="802">
        <v>27</v>
      </c>
      <c r="H295" s="798">
        <f t="shared" si="41"/>
        <v>1.52</v>
      </c>
      <c r="I295" s="257">
        <v>200</v>
      </c>
      <c r="J295" s="709">
        <f t="shared" si="42"/>
        <v>304</v>
      </c>
      <c r="K295" s="709">
        <f t="shared" si="43"/>
        <v>12956.536005306718</v>
      </c>
      <c r="L295" s="626">
        <v>14200</v>
      </c>
      <c r="M295" s="626"/>
      <c r="N295" s="419"/>
      <c r="O295" s="724"/>
      <c r="P295" s="757"/>
      <c r="Q295" s="743"/>
      <c r="R295" s="8"/>
      <c r="S295" s="704">
        <f t="shared" si="44"/>
        <v>2840000</v>
      </c>
      <c r="T295" s="903">
        <f t="shared" si="45"/>
        <v>2591307.2010613438</v>
      </c>
    </row>
    <row r="296" spans="1:20" ht="17.25" customHeight="1">
      <c r="A296" s="741">
        <f t="shared" si="38"/>
        <v>125</v>
      </c>
      <c r="B296" s="291" t="s">
        <v>942</v>
      </c>
      <c r="C296" s="724">
        <v>42468</v>
      </c>
      <c r="D296" s="725" t="s">
        <v>534</v>
      </c>
      <c r="E296" s="807">
        <v>70</v>
      </c>
      <c r="F296" s="759">
        <v>45</v>
      </c>
      <c r="G296" s="759">
        <v>50</v>
      </c>
      <c r="H296" s="798">
        <f t="shared" si="41"/>
        <v>2.2999999999999998</v>
      </c>
      <c r="I296" s="257">
        <v>40</v>
      </c>
      <c r="J296" s="709">
        <f t="shared" si="42"/>
        <v>92</v>
      </c>
      <c r="K296" s="709">
        <f t="shared" si="43"/>
        <v>19605.284744872006</v>
      </c>
      <c r="L296" s="626">
        <v>24700</v>
      </c>
      <c r="M296" s="626"/>
      <c r="N296" s="794" t="s">
        <v>747</v>
      </c>
      <c r="O296" s="795"/>
      <c r="P296" s="796"/>
      <c r="Q296" s="503"/>
      <c r="R296" s="503">
        <f>SUM(R281:R295)</f>
        <v>666849980</v>
      </c>
      <c r="S296" s="704">
        <f t="shared" si="44"/>
        <v>988000</v>
      </c>
      <c r="T296" s="903">
        <f t="shared" si="45"/>
        <v>784211.38979488029</v>
      </c>
    </row>
    <row r="297" spans="1:20" ht="17.25" customHeight="1">
      <c r="A297" s="741">
        <f t="shared" si="38"/>
        <v>126</v>
      </c>
      <c r="B297" s="291" t="s">
        <v>998</v>
      </c>
      <c r="C297" s="724">
        <v>42468</v>
      </c>
      <c r="D297" s="725" t="s">
        <v>535</v>
      </c>
      <c r="E297" s="807">
        <v>36.5</v>
      </c>
      <c r="F297" s="808">
        <v>26.5</v>
      </c>
      <c r="G297" s="808">
        <v>26</v>
      </c>
      <c r="H297" s="798">
        <f t="shared" si="41"/>
        <v>0.73</v>
      </c>
      <c r="I297" s="257">
        <v>540</v>
      </c>
      <c r="J297" s="709">
        <f t="shared" si="42"/>
        <v>394.2</v>
      </c>
      <c r="K297" s="709">
        <f t="shared" si="43"/>
        <v>6222.5468972854633</v>
      </c>
      <c r="L297" s="626">
        <v>11000</v>
      </c>
      <c r="M297" s="626"/>
      <c r="N297" s="419" t="s">
        <v>337</v>
      </c>
      <c r="O297" s="724">
        <v>42517</v>
      </c>
      <c r="P297" s="757">
        <v>24</v>
      </c>
      <c r="Q297" s="743">
        <v>42000</v>
      </c>
      <c r="R297" s="8">
        <f t="shared" ref="R297:R299" si="47">ROUND(P297*Q297,0)</f>
        <v>1008000</v>
      </c>
      <c r="S297" s="704">
        <f t="shared" si="44"/>
        <v>5940000</v>
      </c>
      <c r="T297" s="903">
        <f t="shared" si="45"/>
        <v>3360175.3245341503</v>
      </c>
    </row>
    <row r="298" spans="1:20" ht="17.25" customHeight="1">
      <c r="A298" s="741">
        <f t="shared" si="38"/>
        <v>127</v>
      </c>
      <c r="B298" s="291" t="s">
        <v>1468</v>
      </c>
      <c r="C298" s="724">
        <v>42468</v>
      </c>
      <c r="D298" s="725" t="s">
        <v>536</v>
      </c>
      <c r="E298" s="807">
        <v>29</v>
      </c>
      <c r="F298" s="808">
        <v>18</v>
      </c>
      <c r="G298" s="808">
        <v>18.8</v>
      </c>
      <c r="H298" s="798">
        <f t="shared" si="41"/>
        <v>0.39</v>
      </c>
      <c r="I298" s="257">
        <v>3000</v>
      </c>
      <c r="J298" s="709">
        <f t="shared" si="42"/>
        <v>1170</v>
      </c>
      <c r="K298" s="709">
        <f t="shared" si="43"/>
        <v>3324.3743697826449</v>
      </c>
      <c r="L298" s="626">
        <v>5200</v>
      </c>
      <c r="M298" s="626"/>
      <c r="N298" s="419" t="s">
        <v>844</v>
      </c>
      <c r="O298" s="724">
        <v>42527</v>
      </c>
      <c r="P298" s="757">
        <v>350</v>
      </c>
      <c r="Q298" s="743">
        <v>19545</v>
      </c>
      <c r="R298" s="8">
        <f t="shared" si="47"/>
        <v>6840750</v>
      </c>
      <c r="S298" s="704">
        <f t="shared" si="44"/>
        <v>15600000</v>
      </c>
      <c r="T298" s="903">
        <f t="shared" si="45"/>
        <v>9973123.1093479339</v>
      </c>
    </row>
    <row r="299" spans="1:20" ht="17.25" customHeight="1">
      <c r="A299" s="741">
        <f t="shared" si="38"/>
        <v>128</v>
      </c>
      <c r="B299" s="291" t="s">
        <v>999</v>
      </c>
      <c r="C299" s="724">
        <v>42471</v>
      </c>
      <c r="D299" s="725" t="s">
        <v>538</v>
      </c>
      <c r="E299" s="807">
        <v>52</v>
      </c>
      <c r="F299" s="808">
        <v>38</v>
      </c>
      <c r="G299" s="808">
        <v>18</v>
      </c>
      <c r="H299" s="798">
        <f t="shared" si="41"/>
        <v>1.0900000000000001</v>
      </c>
      <c r="I299" s="257">
        <v>100</v>
      </c>
      <c r="J299" s="709">
        <f t="shared" si="42"/>
        <v>109.00000000000001</v>
      </c>
      <c r="K299" s="709">
        <f t="shared" si="43"/>
        <v>9291.2001617002134</v>
      </c>
      <c r="L299" s="626">
        <v>13500</v>
      </c>
      <c r="M299" s="626"/>
      <c r="N299" s="419" t="s">
        <v>888</v>
      </c>
      <c r="O299" s="724">
        <v>42527</v>
      </c>
      <c r="P299" s="757">
        <v>400</v>
      </c>
      <c r="Q299" s="743">
        <v>18000</v>
      </c>
      <c r="R299" s="8">
        <f t="shared" si="47"/>
        <v>7200000</v>
      </c>
      <c r="S299" s="704">
        <f t="shared" si="44"/>
        <v>1350000</v>
      </c>
      <c r="T299" s="903">
        <f t="shared" si="45"/>
        <v>929120.01617002138</v>
      </c>
    </row>
    <row r="300" spans="1:20" ht="17.25" customHeight="1">
      <c r="A300" s="741">
        <f t="shared" si="38"/>
        <v>129</v>
      </c>
      <c r="B300" s="291" t="s">
        <v>1001</v>
      </c>
      <c r="C300" s="724">
        <v>42471</v>
      </c>
      <c r="D300" s="725" t="s">
        <v>538</v>
      </c>
      <c r="E300" s="807">
        <v>50</v>
      </c>
      <c r="F300" s="808">
        <v>37.5</v>
      </c>
      <c r="G300" s="808">
        <v>32</v>
      </c>
      <c r="H300" s="798">
        <f t="shared" si="41"/>
        <v>1.31</v>
      </c>
      <c r="I300" s="257">
        <v>100</v>
      </c>
      <c r="J300" s="709">
        <f t="shared" si="42"/>
        <v>131</v>
      </c>
      <c r="K300" s="709">
        <f t="shared" si="43"/>
        <v>11166.488267731449</v>
      </c>
      <c r="L300" s="626">
        <v>15500</v>
      </c>
      <c r="M300" s="626"/>
      <c r="N300" s="419"/>
      <c r="O300" s="724"/>
      <c r="P300" s="757"/>
      <c r="Q300" s="743"/>
      <c r="R300" s="8"/>
      <c r="S300" s="704">
        <f t="shared" si="44"/>
        <v>1550000</v>
      </c>
      <c r="T300" s="903">
        <f t="shared" si="45"/>
        <v>1116648.826773145</v>
      </c>
    </row>
    <row r="301" spans="1:20" ht="17.25" customHeight="1">
      <c r="A301" s="741">
        <f t="shared" si="38"/>
        <v>130</v>
      </c>
      <c r="B301" s="291" t="s">
        <v>1002</v>
      </c>
      <c r="C301" s="724">
        <v>42471</v>
      </c>
      <c r="D301" s="725" t="s">
        <v>538</v>
      </c>
      <c r="E301" s="807">
        <v>50.5</v>
      </c>
      <c r="F301" s="808">
        <v>40</v>
      </c>
      <c r="G301" s="808">
        <v>23</v>
      </c>
      <c r="H301" s="798">
        <f t="shared" si="41"/>
        <v>1.23</v>
      </c>
      <c r="I301" s="257">
        <v>100</v>
      </c>
      <c r="J301" s="709">
        <f t="shared" si="42"/>
        <v>123</v>
      </c>
      <c r="K301" s="709">
        <f t="shared" si="43"/>
        <v>10484.565320083726</v>
      </c>
      <c r="L301" s="626">
        <v>14500</v>
      </c>
      <c r="M301" s="626"/>
      <c r="N301" s="794" t="s">
        <v>748</v>
      </c>
      <c r="O301" s="795"/>
      <c r="P301" s="796"/>
      <c r="Q301" s="503"/>
      <c r="R301" s="503">
        <f>SUM(R297:R300)</f>
        <v>15048750</v>
      </c>
      <c r="S301" s="704">
        <f t="shared" si="44"/>
        <v>1450000</v>
      </c>
      <c r="T301" s="903">
        <f t="shared" si="45"/>
        <v>1048456.5320083726</v>
      </c>
    </row>
    <row r="302" spans="1:20" ht="17.25" customHeight="1">
      <c r="A302" s="741">
        <f t="shared" si="38"/>
        <v>131</v>
      </c>
      <c r="B302" s="291" t="s">
        <v>675</v>
      </c>
      <c r="C302" s="724">
        <v>42472</v>
      </c>
      <c r="D302" s="725" t="s">
        <v>539</v>
      </c>
      <c r="E302" s="807">
        <v>45</v>
      </c>
      <c r="F302" s="808">
        <v>37</v>
      </c>
      <c r="G302" s="808">
        <v>27.5</v>
      </c>
      <c r="H302" s="798">
        <f t="shared" si="41"/>
        <v>1.1399999999999999</v>
      </c>
      <c r="I302" s="257">
        <v>1004</v>
      </c>
      <c r="J302" s="709">
        <f t="shared" si="42"/>
        <v>1144.56</v>
      </c>
      <c r="K302" s="709">
        <f t="shared" si="43"/>
        <v>9717.402003980038</v>
      </c>
      <c r="L302" s="626">
        <v>13800</v>
      </c>
      <c r="M302" s="626"/>
      <c r="N302" s="419" t="s">
        <v>749</v>
      </c>
      <c r="O302" s="724"/>
      <c r="P302" s="757"/>
      <c r="Q302" s="743"/>
      <c r="R302" s="8">
        <f>R296</f>
        <v>666849980</v>
      </c>
      <c r="S302" s="704">
        <f t="shared" si="44"/>
        <v>13855200</v>
      </c>
      <c r="T302" s="903">
        <f t="shared" si="45"/>
        <v>9756271.6119959578</v>
      </c>
    </row>
    <row r="303" spans="1:20" ht="17.25" customHeight="1">
      <c r="A303" s="741">
        <f t="shared" si="38"/>
        <v>132</v>
      </c>
      <c r="B303" s="291" t="s">
        <v>723</v>
      </c>
      <c r="C303" s="724">
        <v>42472</v>
      </c>
      <c r="D303" s="725" t="s">
        <v>539</v>
      </c>
      <c r="E303" s="807">
        <v>44</v>
      </c>
      <c r="F303" s="808">
        <v>20</v>
      </c>
      <c r="G303" s="808"/>
      <c r="H303" s="798">
        <f t="shared" si="41"/>
        <v>0.09</v>
      </c>
      <c r="I303" s="257">
        <v>2008</v>
      </c>
      <c r="J303" s="709">
        <f t="shared" si="42"/>
        <v>180.72</v>
      </c>
      <c r="K303" s="709">
        <f t="shared" si="43"/>
        <v>767.16331610368729</v>
      </c>
      <c r="L303" s="626">
        <v>1300</v>
      </c>
      <c r="M303" s="626"/>
      <c r="N303" s="419" t="s">
        <v>750</v>
      </c>
      <c r="O303" s="724"/>
      <c r="P303" s="757"/>
      <c r="Q303" s="743"/>
      <c r="R303" s="8">
        <f>R301</f>
        <v>15048750</v>
      </c>
      <c r="S303" s="704">
        <f t="shared" si="44"/>
        <v>2610400</v>
      </c>
      <c r="T303" s="903">
        <f t="shared" si="45"/>
        <v>1540463.9387362041</v>
      </c>
    </row>
    <row r="304" spans="1:20" ht="17.25" customHeight="1">
      <c r="A304" s="741">
        <f t="shared" si="38"/>
        <v>133</v>
      </c>
      <c r="B304" s="291" t="s">
        <v>1003</v>
      </c>
      <c r="C304" s="724">
        <v>42472</v>
      </c>
      <c r="D304" s="725" t="s">
        <v>540</v>
      </c>
      <c r="E304" s="807">
        <v>55</v>
      </c>
      <c r="F304" s="808">
        <v>28</v>
      </c>
      <c r="G304" s="808">
        <v>22</v>
      </c>
      <c r="H304" s="798">
        <f t="shared" si="41"/>
        <v>0.91</v>
      </c>
      <c r="I304" s="257">
        <v>207</v>
      </c>
      <c r="J304" s="709">
        <f t="shared" si="42"/>
        <v>188.37</v>
      </c>
      <c r="K304" s="709">
        <f t="shared" si="43"/>
        <v>7756.8735294928383</v>
      </c>
      <c r="L304" s="626">
        <v>13200</v>
      </c>
      <c r="M304" s="626"/>
      <c r="N304" s="419" t="s">
        <v>752</v>
      </c>
      <c r="O304" s="724"/>
      <c r="P304" s="757"/>
      <c r="Q304" s="743"/>
      <c r="R304" s="8">
        <v>6580000</v>
      </c>
      <c r="S304" s="704">
        <f t="shared" si="44"/>
        <v>2732400</v>
      </c>
      <c r="T304" s="903">
        <f t="shared" si="45"/>
        <v>1605672.8206050175</v>
      </c>
    </row>
    <row r="305" spans="1:20" ht="17.25" customHeight="1">
      <c r="A305" s="741">
        <f t="shared" si="38"/>
        <v>134</v>
      </c>
      <c r="B305" s="291" t="s">
        <v>1004</v>
      </c>
      <c r="C305" s="724">
        <v>42472</v>
      </c>
      <c r="D305" s="725" t="s">
        <v>540</v>
      </c>
      <c r="E305" s="807">
        <v>35</v>
      </c>
      <c r="F305" s="808">
        <v>35</v>
      </c>
      <c r="G305" s="808">
        <v>26</v>
      </c>
      <c r="H305" s="798">
        <f t="shared" si="41"/>
        <v>0.93</v>
      </c>
      <c r="I305" s="257">
        <v>173</v>
      </c>
      <c r="J305" s="709">
        <f t="shared" si="42"/>
        <v>160.89000000000001</v>
      </c>
      <c r="K305" s="709">
        <f t="shared" si="43"/>
        <v>7927.3542664047691</v>
      </c>
      <c r="L305" s="626">
        <v>11000</v>
      </c>
      <c r="M305" s="626"/>
      <c r="N305" s="419" t="s">
        <v>751</v>
      </c>
      <c r="O305" s="724"/>
      <c r="P305" s="757"/>
      <c r="Q305" s="743"/>
      <c r="R305" s="8">
        <v>30000000</v>
      </c>
      <c r="S305" s="704">
        <f t="shared" si="44"/>
        <v>1903000</v>
      </c>
      <c r="T305" s="903">
        <f t="shared" si="45"/>
        <v>1371432.2880880251</v>
      </c>
    </row>
    <row r="306" spans="1:20" ht="17.25" customHeight="1">
      <c r="A306" s="741">
        <f t="shared" si="38"/>
        <v>135</v>
      </c>
      <c r="B306" s="291" t="s">
        <v>1005</v>
      </c>
      <c r="C306" s="724">
        <v>42472</v>
      </c>
      <c r="D306" s="725" t="s">
        <v>541</v>
      </c>
      <c r="E306" s="807">
        <v>33.5</v>
      </c>
      <c r="F306" s="808">
        <v>31.5</v>
      </c>
      <c r="G306" s="808">
        <v>9.5</v>
      </c>
      <c r="H306" s="798">
        <f t="shared" si="41"/>
        <v>0.59</v>
      </c>
      <c r="I306" s="257">
        <v>505</v>
      </c>
      <c r="J306" s="709">
        <f t="shared" si="42"/>
        <v>297.95</v>
      </c>
      <c r="K306" s="709">
        <f t="shared" si="43"/>
        <v>5029.1817389019498</v>
      </c>
      <c r="L306" s="626">
        <v>6400</v>
      </c>
      <c r="M306" s="626"/>
      <c r="N306" s="419" t="s">
        <v>764</v>
      </c>
      <c r="O306" s="724"/>
      <c r="P306" s="757"/>
      <c r="Q306" s="743"/>
      <c r="R306" s="8">
        <v>48420000</v>
      </c>
      <c r="S306" s="704">
        <f t="shared" si="44"/>
        <v>3232000</v>
      </c>
      <c r="T306" s="903">
        <f t="shared" si="45"/>
        <v>2539736.7781454846</v>
      </c>
    </row>
    <row r="307" spans="1:20" ht="17.25" customHeight="1">
      <c r="A307" s="741">
        <f t="shared" si="38"/>
        <v>136</v>
      </c>
      <c r="B307" s="291" t="s">
        <v>1006</v>
      </c>
      <c r="C307" s="724">
        <v>42472</v>
      </c>
      <c r="D307" s="725" t="s">
        <v>541</v>
      </c>
      <c r="E307" s="807">
        <v>52.5</v>
      </c>
      <c r="F307" s="808">
        <v>29.5</v>
      </c>
      <c r="G307" s="808">
        <v>9.1999999999999993</v>
      </c>
      <c r="H307" s="798">
        <f t="shared" si="41"/>
        <v>0.7</v>
      </c>
      <c r="I307" s="257">
        <v>988</v>
      </c>
      <c r="J307" s="709">
        <f t="shared" si="42"/>
        <v>691.59999999999991</v>
      </c>
      <c r="K307" s="709">
        <f t="shared" si="43"/>
        <v>5966.8257919175676</v>
      </c>
      <c r="L307" s="626">
        <v>7700</v>
      </c>
      <c r="M307" s="626"/>
      <c r="N307" s="419"/>
      <c r="O307" s="724"/>
      <c r="P307" s="757"/>
      <c r="Q307" s="743"/>
      <c r="R307" s="8"/>
      <c r="S307" s="704">
        <f t="shared" si="44"/>
        <v>7607600</v>
      </c>
      <c r="T307" s="903">
        <f t="shared" si="45"/>
        <v>5895223.882414557</v>
      </c>
    </row>
    <row r="308" spans="1:20" ht="17.25" customHeight="1">
      <c r="A308" s="741">
        <f t="shared" si="38"/>
        <v>137</v>
      </c>
      <c r="B308" s="291" t="s">
        <v>660</v>
      </c>
      <c r="C308" s="724">
        <v>42472</v>
      </c>
      <c r="D308" s="725" t="s">
        <v>543</v>
      </c>
      <c r="E308" s="807">
        <v>48</v>
      </c>
      <c r="F308" s="808">
        <v>23</v>
      </c>
      <c r="G308" s="808">
        <v>22</v>
      </c>
      <c r="H308" s="798">
        <f t="shared" si="41"/>
        <v>0.71</v>
      </c>
      <c r="I308" s="257">
        <v>735</v>
      </c>
      <c r="J308" s="709">
        <f t="shared" si="42"/>
        <v>521.85</v>
      </c>
      <c r="K308" s="709">
        <f t="shared" si="43"/>
        <v>6052.0661603735325</v>
      </c>
      <c r="L308" s="626">
        <v>7135</v>
      </c>
      <c r="M308" s="626"/>
      <c r="N308" s="794" t="s">
        <v>761</v>
      </c>
      <c r="O308" s="795"/>
      <c r="P308" s="796"/>
      <c r="Q308" s="503"/>
      <c r="R308" s="503">
        <f>SUM(R302:R307)</f>
        <v>766898730</v>
      </c>
      <c r="S308" s="704">
        <f t="shared" si="44"/>
        <v>5244225</v>
      </c>
      <c r="T308" s="903">
        <f t="shared" si="45"/>
        <v>4448268.6278745467</v>
      </c>
    </row>
    <row r="309" spans="1:20" ht="17.25" customHeight="1">
      <c r="A309" s="741">
        <f t="shared" si="38"/>
        <v>138</v>
      </c>
      <c r="B309" s="291" t="s">
        <v>448</v>
      </c>
      <c r="C309" s="724">
        <v>42472</v>
      </c>
      <c r="D309" s="725" t="s">
        <v>543</v>
      </c>
      <c r="E309" s="807">
        <v>103</v>
      </c>
      <c r="F309" s="808">
        <v>50</v>
      </c>
      <c r="G309" s="808">
        <v>180</v>
      </c>
      <c r="H309" s="798">
        <f t="shared" si="41"/>
        <v>7.25</v>
      </c>
      <c r="I309" s="257">
        <v>194</v>
      </c>
      <c r="J309" s="709">
        <f t="shared" si="42"/>
        <v>1406.5</v>
      </c>
      <c r="K309" s="709">
        <f t="shared" si="43"/>
        <v>61799.267130574808</v>
      </c>
      <c r="L309" s="626">
        <v>47449</v>
      </c>
      <c r="M309" s="626"/>
      <c r="N309" s="420"/>
      <c r="O309" s="732"/>
      <c r="P309" s="758"/>
      <c r="Q309" s="722"/>
      <c r="R309" s="734"/>
      <c r="S309" s="704">
        <f t="shared" si="44"/>
        <v>9205106</v>
      </c>
      <c r="T309" s="903">
        <f t="shared" si="45"/>
        <v>11989057.823331513</v>
      </c>
    </row>
    <row r="310" spans="1:20" ht="17.25" customHeight="1">
      <c r="A310" s="741">
        <f t="shared" si="38"/>
        <v>139</v>
      </c>
      <c r="B310" s="291" t="s">
        <v>1007</v>
      </c>
      <c r="C310" s="724">
        <v>42472</v>
      </c>
      <c r="D310" s="725" t="s">
        <v>543</v>
      </c>
      <c r="E310" s="807">
        <v>122</v>
      </c>
      <c r="F310" s="808">
        <v>54</v>
      </c>
      <c r="G310" s="808">
        <v>176</v>
      </c>
      <c r="H310" s="798">
        <f t="shared" si="41"/>
        <v>8.32</v>
      </c>
      <c r="I310" s="257">
        <v>20</v>
      </c>
      <c r="J310" s="709">
        <f t="shared" si="42"/>
        <v>166.4</v>
      </c>
      <c r="K310" s="709">
        <f t="shared" si="43"/>
        <v>70919.986555363095</v>
      </c>
      <c r="L310" s="626">
        <v>54530</v>
      </c>
      <c r="M310" s="626"/>
      <c r="N310" s="420"/>
      <c r="O310" s="732"/>
      <c r="P310" s="758"/>
      <c r="Q310" s="722"/>
      <c r="R310" s="734"/>
      <c r="S310" s="704">
        <f t="shared" si="44"/>
        <v>1090600</v>
      </c>
      <c r="T310" s="903">
        <f t="shared" si="45"/>
        <v>1418399.731107262</v>
      </c>
    </row>
    <row r="311" spans="1:20" ht="17.25" customHeight="1">
      <c r="A311" s="741">
        <f t="shared" si="38"/>
        <v>140</v>
      </c>
      <c r="B311" s="291" t="s">
        <v>419</v>
      </c>
      <c r="C311" s="724">
        <v>42473</v>
      </c>
      <c r="D311" s="725" t="s">
        <v>544</v>
      </c>
      <c r="E311" s="807">
        <v>52</v>
      </c>
      <c r="F311" s="808">
        <v>24.5</v>
      </c>
      <c r="G311" s="808">
        <v>24.5</v>
      </c>
      <c r="H311" s="798">
        <f t="shared" si="41"/>
        <v>0.82</v>
      </c>
      <c r="I311" s="257">
        <v>1222</v>
      </c>
      <c r="J311" s="709">
        <f t="shared" si="42"/>
        <v>1002.04</v>
      </c>
      <c r="K311" s="709">
        <f t="shared" si="43"/>
        <v>6989.7102133891503</v>
      </c>
      <c r="L311" s="626">
        <v>5000</v>
      </c>
      <c r="M311" s="626"/>
      <c r="N311" s="1142" t="s">
        <v>762</v>
      </c>
      <c r="O311" s="1143"/>
      <c r="P311" s="1143"/>
      <c r="Q311" s="1144"/>
      <c r="R311" s="799">
        <f>R308/J525</f>
        <v>8524.0368455965254</v>
      </c>
      <c r="S311" s="704">
        <f t="shared" si="44"/>
        <v>6110000</v>
      </c>
      <c r="T311" s="903">
        <f t="shared" si="45"/>
        <v>8541425.8807615414</v>
      </c>
    </row>
    <row r="312" spans="1:20" ht="17.25" customHeight="1">
      <c r="A312" s="741">
        <f t="shared" si="38"/>
        <v>141</v>
      </c>
      <c r="B312" s="291" t="s">
        <v>471</v>
      </c>
      <c r="C312" s="724">
        <v>42473</v>
      </c>
      <c r="D312" s="725" t="s">
        <v>544</v>
      </c>
      <c r="E312" s="807">
        <v>55</v>
      </c>
      <c r="F312" s="759">
        <v>45</v>
      </c>
      <c r="G312" s="759">
        <v>29</v>
      </c>
      <c r="H312" s="798">
        <f t="shared" si="41"/>
        <v>1.58</v>
      </c>
      <c r="I312" s="257">
        <v>602</v>
      </c>
      <c r="J312" s="709">
        <f t="shared" si="42"/>
        <v>951.16000000000008</v>
      </c>
      <c r="K312" s="709">
        <f t="shared" si="43"/>
        <v>13467.978216042511</v>
      </c>
      <c r="L312" s="715">
        <v>9700</v>
      </c>
      <c r="M312" s="626"/>
      <c r="O312" s="704"/>
      <c r="P312" s="704"/>
      <c r="Q312" s="704"/>
      <c r="S312" s="704">
        <f t="shared" si="44"/>
        <v>5839400</v>
      </c>
      <c r="T312" s="903">
        <f t="shared" si="45"/>
        <v>8107722.886057592</v>
      </c>
    </row>
    <row r="313" spans="1:20" ht="17.25" customHeight="1">
      <c r="A313" s="741">
        <f t="shared" si="38"/>
        <v>142</v>
      </c>
      <c r="B313" s="291" t="s">
        <v>448</v>
      </c>
      <c r="C313" s="724">
        <v>42475</v>
      </c>
      <c r="D313" s="725" t="s">
        <v>1008</v>
      </c>
      <c r="E313" s="807">
        <v>103</v>
      </c>
      <c r="F313" s="759">
        <v>50</v>
      </c>
      <c r="G313" s="759">
        <v>180</v>
      </c>
      <c r="H313" s="798">
        <f t="shared" si="41"/>
        <v>7.25</v>
      </c>
      <c r="I313" s="257">
        <v>295</v>
      </c>
      <c r="J313" s="709">
        <f t="shared" si="42"/>
        <v>2138.75</v>
      </c>
      <c r="K313" s="709">
        <f t="shared" si="43"/>
        <v>61799.267130574808</v>
      </c>
      <c r="L313" s="715">
        <v>47449</v>
      </c>
      <c r="M313" s="626"/>
      <c r="O313" s="704"/>
      <c r="P313" s="704"/>
      <c r="Q313" s="704"/>
      <c r="S313" s="704">
        <f t="shared" si="44"/>
        <v>13997455</v>
      </c>
      <c r="T313" s="903">
        <f t="shared" si="45"/>
        <v>18230783.803519569</v>
      </c>
    </row>
    <row r="314" spans="1:20" ht="17.25" customHeight="1">
      <c r="A314" s="741">
        <f t="shared" si="38"/>
        <v>143</v>
      </c>
      <c r="B314" s="291" t="s">
        <v>1009</v>
      </c>
      <c r="C314" s="724">
        <v>42475</v>
      </c>
      <c r="D314" s="725" t="s">
        <v>1008</v>
      </c>
      <c r="E314" s="807">
        <v>122</v>
      </c>
      <c r="F314" s="759">
        <v>54</v>
      </c>
      <c r="G314" s="759">
        <v>170</v>
      </c>
      <c r="H314" s="798">
        <f t="shared" si="41"/>
        <v>8.1</v>
      </c>
      <c r="I314" s="257">
        <v>41</v>
      </c>
      <c r="J314" s="709">
        <f t="shared" si="42"/>
        <v>332.09999999999997</v>
      </c>
      <c r="K314" s="709">
        <f t="shared" si="43"/>
        <v>69044.69844933186</v>
      </c>
      <c r="L314" s="715">
        <v>54530</v>
      </c>
      <c r="M314" s="626"/>
      <c r="O314" s="704"/>
      <c r="P314" s="704"/>
      <c r="Q314" s="704"/>
      <c r="S314" s="704">
        <f t="shared" si="44"/>
        <v>2235730</v>
      </c>
      <c r="T314" s="903">
        <f t="shared" si="45"/>
        <v>2830832.6364226062</v>
      </c>
    </row>
    <row r="315" spans="1:20" ht="17.25" customHeight="1">
      <c r="A315" s="741">
        <f t="shared" si="38"/>
        <v>144</v>
      </c>
      <c r="B315" s="291" t="s">
        <v>441</v>
      </c>
      <c r="C315" s="724">
        <v>42475</v>
      </c>
      <c r="D315" s="725" t="s">
        <v>549</v>
      </c>
      <c r="E315" s="807">
        <v>22</v>
      </c>
      <c r="F315" s="759">
        <v>22</v>
      </c>
      <c r="G315" s="759">
        <v>29.5</v>
      </c>
      <c r="H315" s="798">
        <f t="shared" si="41"/>
        <v>0.51</v>
      </c>
      <c r="I315" s="257">
        <v>991</v>
      </c>
      <c r="J315" s="709">
        <f t="shared" si="42"/>
        <v>505.41</v>
      </c>
      <c r="K315" s="709">
        <f t="shared" si="43"/>
        <v>4347.2587912542276</v>
      </c>
      <c r="L315" s="715">
        <v>6700</v>
      </c>
      <c r="M315" s="626"/>
      <c r="O315" s="704"/>
      <c r="P315" s="704"/>
      <c r="Q315" s="704"/>
      <c r="S315" s="704">
        <f t="shared" si="44"/>
        <v>6639700</v>
      </c>
      <c r="T315" s="903">
        <f t="shared" si="45"/>
        <v>4308133.4621329391</v>
      </c>
    </row>
    <row r="316" spans="1:20" ht="17.25" customHeight="1">
      <c r="A316" s="741">
        <f t="shared" si="38"/>
        <v>145</v>
      </c>
      <c r="B316" s="291" t="s">
        <v>637</v>
      </c>
      <c r="C316" s="724">
        <v>42475</v>
      </c>
      <c r="D316" s="725" t="s">
        <v>549</v>
      </c>
      <c r="E316" s="807">
        <v>104</v>
      </c>
      <c r="F316" s="808">
        <v>50</v>
      </c>
      <c r="G316" s="808">
        <v>25</v>
      </c>
      <c r="H316" s="798">
        <f t="shared" si="41"/>
        <v>2.44</v>
      </c>
      <c r="I316" s="257">
        <v>105</v>
      </c>
      <c r="J316" s="709">
        <f t="shared" si="42"/>
        <v>256.2</v>
      </c>
      <c r="K316" s="709">
        <f t="shared" si="43"/>
        <v>20798.649903255522</v>
      </c>
      <c r="L316" s="626">
        <v>27000</v>
      </c>
      <c r="M316" s="626"/>
      <c r="O316" s="704"/>
      <c r="P316" s="704"/>
      <c r="Q316" s="704"/>
      <c r="S316" s="704">
        <f t="shared" si="44"/>
        <v>2835000</v>
      </c>
      <c r="T316" s="903">
        <f t="shared" si="45"/>
        <v>2183858.23984183</v>
      </c>
    </row>
    <row r="317" spans="1:20" ht="17.25" customHeight="1">
      <c r="A317" s="741">
        <f t="shared" si="38"/>
        <v>146</v>
      </c>
      <c r="B317" s="291" t="s">
        <v>1010</v>
      </c>
      <c r="C317" s="724">
        <v>42475</v>
      </c>
      <c r="D317" s="725" t="s">
        <v>549</v>
      </c>
      <c r="E317" s="807">
        <v>42.5</v>
      </c>
      <c r="F317" s="808">
        <v>24</v>
      </c>
      <c r="G317" s="808">
        <v>9</v>
      </c>
      <c r="H317" s="798">
        <f t="shared" si="41"/>
        <v>0.5</v>
      </c>
      <c r="I317" s="257">
        <v>209</v>
      </c>
      <c r="J317" s="709">
        <f t="shared" si="42"/>
        <v>104.5</v>
      </c>
      <c r="K317" s="709">
        <f t="shared" si="43"/>
        <v>4262.0184227982627</v>
      </c>
      <c r="L317" s="626">
        <v>5700</v>
      </c>
      <c r="M317" s="626"/>
      <c r="O317" s="704"/>
      <c r="P317" s="704"/>
      <c r="Q317" s="704"/>
      <c r="S317" s="704">
        <f t="shared" si="44"/>
        <v>1191300</v>
      </c>
      <c r="T317" s="903">
        <f t="shared" si="45"/>
        <v>890761.85036483686</v>
      </c>
    </row>
    <row r="318" spans="1:20" ht="17.25" customHeight="1">
      <c r="A318" s="741">
        <f t="shared" si="38"/>
        <v>147</v>
      </c>
      <c r="B318" s="291" t="s">
        <v>466</v>
      </c>
      <c r="C318" s="724">
        <v>42478</v>
      </c>
      <c r="D318" s="725" t="s">
        <v>550</v>
      </c>
      <c r="E318" s="807">
        <v>37.5</v>
      </c>
      <c r="F318" s="808">
        <v>25.3</v>
      </c>
      <c r="G318" s="808">
        <v>23.9</v>
      </c>
      <c r="H318" s="798">
        <f t="shared" si="41"/>
        <v>0.68</v>
      </c>
      <c r="I318" s="257">
        <v>566</v>
      </c>
      <c r="J318" s="709">
        <f t="shared" si="42"/>
        <v>384.88000000000005</v>
      </c>
      <c r="K318" s="709">
        <f t="shared" si="43"/>
        <v>5796.3450550056377</v>
      </c>
      <c r="L318" s="626">
        <v>5900</v>
      </c>
      <c r="M318" s="626"/>
      <c r="O318" s="704"/>
      <c r="P318" s="704"/>
      <c r="Q318" s="704"/>
      <c r="S318" s="704">
        <f t="shared" si="44"/>
        <v>3339400</v>
      </c>
      <c r="T318" s="903">
        <f t="shared" si="45"/>
        <v>3280731.3011331907</v>
      </c>
    </row>
    <row r="319" spans="1:20" ht="17.25" customHeight="1">
      <c r="A319" s="741">
        <f t="shared" si="38"/>
        <v>148</v>
      </c>
      <c r="B319" s="291" t="s">
        <v>579</v>
      </c>
      <c r="C319" s="724">
        <v>42478</v>
      </c>
      <c r="D319" s="725" t="s">
        <v>551</v>
      </c>
      <c r="E319" s="807">
        <v>57</v>
      </c>
      <c r="F319" s="808">
        <v>36</v>
      </c>
      <c r="G319" s="808">
        <v>34</v>
      </c>
      <c r="H319" s="798">
        <f t="shared" si="41"/>
        <v>1.39</v>
      </c>
      <c r="I319" s="257">
        <v>151</v>
      </c>
      <c r="J319" s="709">
        <f t="shared" si="42"/>
        <v>209.89</v>
      </c>
      <c r="K319" s="709">
        <f t="shared" si="43"/>
        <v>11848.41121537917</v>
      </c>
      <c r="L319" s="626">
        <v>20000</v>
      </c>
      <c r="M319" s="626"/>
      <c r="O319" s="704"/>
      <c r="P319" s="704"/>
      <c r="Q319" s="704"/>
      <c r="S319" s="704">
        <f t="shared" si="44"/>
        <v>3020000</v>
      </c>
      <c r="T319" s="903">
        <f t="shared" si="45"/>
        <v>1789110.0935222546</v>
      </c>
    </row>
    <row r="320" spans="1:20" ht="17.25" customHeight="1">
      <c r="A320" s="741">
        <f t="shared" si="38"/>
        <v>149</v>
      </c>
      <c r="B320" s="291" t="s">
        <v>681</v>
      </c>
      <c r="C320" s="724">
        <v>42479</v>
      </c>
      <c r="D320" s="725" t="s">
        <v>552</v>
      </c>
      <c r="E320" s="807">
        <v>52</v>
      </c>
      <c r="F320" s="808">
        <v>25</v>
      </c>
      <c r="G320" s="808">
        <v>25</v>
      </c>
      <c r="H320" s="798">
        <f t="shared" si="41"/>
        <v>0.84</v>
      </c>
      <c r="I320" s="257">
        <v>303</v>
      </c>
      <c r="J320" s="709">
        <f t="shared" si="42"/>
        <v>254.51999999999998</v>
      </c>
      <c r="K320" s="709">
        <f t="shared" si="43"/>
        <v>7160.1909503010811</v>
      </c>
      <c r="L320" s="626">
        <v>5800</v>
      </c>
      <c r="M320" s="626"/>
      <c r="O320" s="704"/>
      <c r="P320" s="704"/>
      <c r="Q320" s="704"/>
      <c r="S320" s="704">
        <f t="shared" si="44"/>
        <v>1757400</v>
      </c>
      <c r="T320" s="903">
        <f t="shared" si="45"/>
        <v>2169537.8579412275</v>
      </c>
    </row>
    <row r="321" spans="1:20" ht="17.25" customHeight="1">
      <c r="A321" s="741">
        <f t="shared" si="38"/>
        <v>150</v>
      </c>
      <c r="B321" s="291" t="s">
        <v>570</v>
      </c>
      <c r="C321" s="724">
        <v>42479</v>
      </c>
      <c r="D321" s="725" t="s">
        <v>552</v>
      </c>
      <c r="E321" s="807">
        <v>52</v>
      </c>
      <c r="F321" s="808">
        <v>28</v>
      </c>
      <c r="G321" s="808">
        <v>28</v>
      </c>
      <c r="H321" s="798">
        <f t="shared" si="41"/>
        <v>0.97</v>
      </c>
      <c r="I321" s="257">
        <v>318</v>
      </c>
      <c r="J321" s="709">
        <f t="shared" si="42"/>
        <v>308.45999999999998</v>
      </c>
      <c r="K321" s="709">
        <f t="shared" si="43"/>
        <v>8268.3157402286288</v>
      </c>
      <c r="L321" s="626">
        <v>6400</v>
      </c>
      <c r="M321" s="626"/>
      <c r="O321" s="704"/>
      <c r="P321" s="704"/>
      <c r="Q321" s="704"/>
      <c r="S321" s="704">
        <f t="shared" si="44"/>
        <v>2035200</v>
      </c>
      <c r="T321" s="903">
        <f t="shared" si="45"/>
        <v>2629324.4053927041</v>
      </c>
    </row>
    <row r="322" spans="1:20" ht="17.25" customHeight="1">
      <c r="A322" s="741">
        <f t="shared" si="38"/>
        <v>151</v>
      </c>
      <c r="B322" s="291" t="s">
        <v>657</v>
      </c>
      <c r="C322" s="724">
        <v>42479</v>
      </c>
      <c r="D322" s="725" t="s">
        <v>1012</v>
      </c>
      <c r="E322" s="807">
        <v>40</v>
      </c>
      <c r="F322" s="808">
        <v>30</v>
      </c>
      <c r="G322" s="808">
        <v>18.5</v>
      </c>
      <c r="H322" s="798">
        <f t="shared" si="41"/>
        <v>0.75</v>
      </c>
      <c r="I322" s="257">
        <v>518</v>
      </c>
      <c r="J322" s="709">
        <f t="shared" si="42"/>
        <v>388.5</v>
      </c>
      <c r="K322" s="709">
        <f t="shared" si="43"/>
        <v>6393.027634197394</v>
      </c>
      <c r="L322" s="626">
        <v>8800</v>
      </c>
      <c r="M322" s="626"/>
      <c r="O322" s="704"/>
      <c r="P322" s="704"/>
      <c r="Q322" s="704"/>
      <c r="S322" s="704">
        <f t="shared" si="44"/>
        <v>4558400</v>
      </c>
      <c r="T322" s="903">
        <f t="shared" si="45"/>
        <v>3311588.31451425</v>
      </c>
    </row>
    <row r="323" spans="1:20" ht="17.25" customHeight="1">
      <c r="A323" s="741">
        <f t="shared" si="38"/>
        <v>152</v>
      </c>
      <c r="B323" s="291" t="s">
        <v>1474</v>
      </c>
      <c r="C323" s="724">
        <v>42479</v>
      </c>
      <c r="D323" s="725" t="s">
        <v>1012</v>
      </c>
      <c r="E323" s="807">
        <v>49</v>
      </c>
      <c r="F323" s="808">
        <v>38</v>
      </c>
      <c r="G323" s="808">
        <v>12</v>
      </c>
      <c r="H323" s="798">
        <f t="shared" si="41"/>
        <v>0.95</v>
      </c>
      <c r="I323" s="257">
        <v>540</v>
      </c>
      <c r="J323" s="709">
        <f t="shared" si="42"/>
        <v>513</v>
      </c>
      <c r="K323" s="709">
        <f t="shared" si="43"/>
        <v>8097.8350033166989</v>
      </c>
      <c r="L323" s="626">
        <v>10500</v>
      </c>
      <c r="M323" s="626"/>
      <c r="O323" s="704"/>
      <c r="P323" s="704"/>
      <c r="Q323" s="704"/>
      <c r="S323" s="704">
        <f t="shared" si="44"/>
        <v>5670000</v>
      </c>
      <c r="T323" s="903">
        <f t="shared" si="45"/>
        <v>4372830.9017910175</v>
      </c>
    </row>
    <row r="324" spans="1:20" ht="17.25" customHeight="1">
      <c r="A324" s="741">
        <f t="shared" si="38"/>
        <v>153</v>
      </c>
      <c r="B324" s="291" t="s">
        <v>430</v>
      </c>
      <c r="C324" s="724">
        <v>42479</v>
      </c>
      <c r="D324" s="725" t="s">
        <v>1012</v>
      </c>
      <c r="E324" s="807">
        <v>49</v>
      </c>
      <c r="F324" s="808">
        <v>38</v>
      </c>
      <c r="G324" s="808">
        <v>12</v>
      </c>
      <c r="H324" s="798">
        <f t="shared" si="41"/>
        <v>0.95</v>
      </c>
      <c r="I324" s="257">
        <v>200</v>
      </c>
      <c r="J324" s="709">
        <f t="shared" si="42"/>
        <v>190</v>
      </c>
      <c r="K324" s="709">
        <f t="shared" si="43"/>
        <v>8097.8350033166989</v>
      </c>
      <c r="L324" s="626">
        <v>10000</v>
      </c>
      <c r="M324" s="626"/>
      <c r="O324" s="704"/>
      <c r="P324" s="704"/>
      <c r="Q324" s="704"/>
      <c r="S324" s="704">
        <f t="shared" si="44"/>
        <v>2000000</v>
      </c>
      <c r="T324" s="903">
        <f t="shared" si="45"/>
        <v>1619567.0006633399</v>
      </c>
    </row>
    <row r="325" spans="1:20" ht="17.25" customHeight="1">
      <c r="A325" s="741">
        <f t="shared" si="38"/>
        <v>154</v>
      </c>
      <c r="B325" s="291" t="s">
        <v>1013</v>
      </c>
      <c r="C325" s="724">
        <v>42481</v>
      </c>
      <c r="D325" s="725" t="s">
        <v>722</v>
      </c>
      <c r="E325" s="807">
        <v>110</v>
      </c>
      <c r="F325" s="808">
        <v>45</v>
      </c>
      <c r="G325" s="808">
        <v>38</v>
      </c>
      <c r="H325" s="798">
        <f t="shared" si="41"/>
        <v>2.71</v>
      </c>
      <c r="I325" s="257">
        <v>60</v>
      </c>
      <c r="J325" s="709">
        <f t="shared" si="42"/>
        <v>162.6</v>
      </c>
      <c r="K325" s="709">
        <f t="shared" si="43"/>
        <v>23100.139851566582</v>
      </c>
      <c r="L325" s="626">
        <v>31000</v>
      </c>
      <c r="M325" s="626"/>
      <c r="O325" s="704"/>
      <c r="P325" s="704"/>
      <c r="Q325" s="704"/>
      <c r="S325" s="704">
        <f t="shared" si="44"/>
        <v>1860000</v>
      </c>
      <c r="T325" s="903">
        <f t="shared" si="45"/>
        <v>1386008.391093995</v>
      </c>
    </row>
    <row r="326" spans="1:20" ht="17.25" customHeight="1">
      <c r="A326" s="741">
        <f t="shared" si="38"/>
        <v>155</v>
      </c>
      <c r="B326" s="291" t="s">
        <v>1014</v>
      </c>
      <c r="C326" s="724">
        <v>42481</v>
      </c>
      <c r="D326" s="725" t="s">
        <v>722</v>
      </c>
      <c r="E326" s="807">
        <v>110</v>
      </c>
      <c r="F326" s="808">
        <v>50</v>
      </c>
      <c r="G326" s="808">
        <v>41</v>
      </c>
      <c r="H326" s="798">
        <f t="shared" si="41"/>
        <v>3.06</v>
      </c>
      <c r="I326" s="257">
        <v>60</v>
      </c>
      <c r="J326" s="709">
        <f t="shared" si="42"/>
        <v>183.6</v>
      </c>
      <c r="K326" s="709">
        <f t="shared" si="43"/>
        <v>26083.552747525369</v>
      </c>
      <c r="L326" s="626">
        <v>35000</v>
      </c>
      <c r="M326" s="626"/>
      <c r="O326" s="704"/>
      <c r="P326" s="704"/>
      <c r="Q326" s="704"/>
      <c r="S326" s="704">
        <f t="shared" si="44"/>
        <v>2100000</v>
      </c>
      <c r="T326" s="903">
        <f t="shared" si="45"/>
        <v>1565013.1648515221</v>
      </c>
    </row>
    <row r="327" spans="1:20" ht="17.25" customHeight="1">
      <c r="A327" s="741">
        <f t="shared" si="38"/>
        <v>156</v>
      </c>
      <c r="B327" s="291" t="s">
        <v>507</v>
      </c>
      <c r="C327" s="724">
        <v>42482</v>
      </c>
      <c r="D327" s="725" t="s">
        <v>553</v>
      </c>
      <c r="E327" s="807">
        <v>43</v>
      </c>
      <c r="F327" s="808">
        <v>27.5</v>
      </c>
      <c r="G327" s="808">
        <v>33</v>
      </c>
      <c r="H327" s="798">
        <f t="shared" si="41"/>
        <v>0.93</v>
      </c>
      <c r="I327" s="257">
        <v>208</v>
      </c>
      <c r="J327" s="709">
        <f t="shared" si="42"/>
        <v>193.44</v>
      </c>
      <c r="K327" s="709">
        <f t="shared" si="43"/>
        <v>7927.3542664047691</v>
      </c>
      <c r="L327" s="626">
        <v>6400</v>
      </c>
      <c r="M327" s="626"/>
      <c r="O327" s="704"/>
      <c r="P327" s="704"/>
      <c r="Q327" s="704"/>
      <c r="S327" s="704">
        <f t="shared" si="44"/>
        <v>1331200</v>
      </c>
      <c r="T327" s="903">
        <f t="shared" si="45"/>
        <v>1648889.6874121919</v>
      </c>
    </row>
    <row r="328" spans="1:20" ht="17.25" customHeight="1">
      <c r="A328" s="741">
        <f t="shared" si="38"/>
        <v>157</v>
      </c>
      <c r="B328" s="291" t="s">
        <v>675</v>
      </c>
      <c r="C328" s="724">
        <v>42483</v>
      </c>
      <c r="D328" s="725" t="s">
        <v>556</v>
      </c>
      <c r="E328" s="807">
        <v>45</v>
      </c>
      <c r="F328" s="808">
        <v>37</v>
      </c>
      <c r="G328" s="808">
        <v>27.5</v>
      </c>
      <c r="H328" s="798">
        <f t="shared" si="41"/>
        <v>1.1399999999999999</v>
      </c>
      <c r="I328" s="257">
        <v>100</v>
      </c>
      <c r="J328" s="709">
        <f t="shared" si="42"/>
        <v>113.99999999999999</v>
      </c>
      <c r="K328" s="709">
        <f t="shared" si="43"/>
        <v>9717.402003980038</v>
      </c>
      <c r="L328" s="626">
        <v>13400</v>
      </c>
      <c r="M328" s="626"/>
      <c r="O328" s="704"/>
      <c r="P328" s="704"/>
      <c r="Q328" s="704"/>
      <c r="S328" s="704">
        <f t="shared" si="44"/>
        <v>1340000</v>
      </c>
      <c r="T328" s="903">
        <f t="shared" si="45"/>
        <v>971740.2003980038</v>
      </c>
    </row>
    <row r="329" spans="1:20" ht="17.25" customHeight="1">
      <c r="A329" s="741">
        <f t="shared" si="38"/>
        <v>158</v>
      </c>
      <c r="B329" s="291" t="s">
        <v>723</v>
      </c>
      <c r="C329" s="724">
        <v>42483</v>
      </c>
      <c r="D329" s="725" t="s">
        <v>556</v>
      </c>
      <c r="E329" s="807">
        <v>44</v>
      </c>
      <c r="F329" s="808">
        <v>20</v>
      </c>
      <c r="G329" s="808"/>
      <c r="H329" s="798">
        <f t="shared" si="41"/>
        <v>0.09</v>
      </c>
      <c r="I329" s="257">
        <v>200</v>
      </c>
      <c r="J329" s="709">
        <f t="shared" si="42"/>
        <v>18</v>
      </c>
      <c r="K329" s="709">
        <f t="shared" si="43"/>
        <v>767.16331610368729</v>
      </c>
      <c r="L329" s="626">
        <v>1300</v>
      </c>
      <c r="M329" s="626"/>
      <c r="O329" s="704"/>
      <c r="P329" s="704"/>
      <c r="Q329" s="704"/>
      <c r="S329" s="704">
        <f t="shared" si="44"/>
        <v>260000</v>
      </c>
      <c r="T329" s="903">
        <f t="shared" si="45"/>
        <v>153432.66322073745</v>
      </c>
    </row>
    <row r="330" spans="1:20" ht="17.25" customHeight="1">
      <c r="A330" s="741">
        <f t="shared" si="38"/>
        <v>159</v>
      </c>
      <c r="B330" s="291" t="s">
        <v>1015</v>
      </c>
      <c r="C330" s="724">
        <v>42485</v>
      </c>
      <c r="D330" s="725" t="s">
        <v>558</v>
      </c>
      <c r="E330" s="807">
        <v>52</v>
      </c>
      <c r="F330" s="808">
        <v>45</v>
      </c>
      <c r="G330" s="808">
        <v>20</v>
      </c>
      <c r="H330" s="798">
        <f t="shared" si="41"/>
        <v>1.35</v>
      </c>
      <c r="I330" s="257">
        <v>420</v>
      </c>
      <c r="J330" s="709">
        <f t="shared" si="42"/>
        <v>567</v>
      </c>
      <c r="K330" s="709">
        <f t="shared" si="43"/>
        <v>11507.449741555311</v>
      </c>
      <c r="L330" s="626">
        <v>9700</v>
      </c>
      <c r="M330" s="626"/>
      <c r="O330" s="704"/>
      <c r="P330" s="704"/>
      <c r="Q330" s="704"/>
      <c r="S330" s="704">
        <f t="shared" si="44"/>
        <v>4074000</v>
      </c>
      <c r="T330" s="903">
        <f t="shared" si="45"/>
        <v>4833128.8914532308</v>
      </c>
    </row>
    <row r="331" spans="1:20" ht="17.25" customHeight="1">
      <c r="A331" s="741">
        <f t="shared" si="38"/>
        <v>160</v>
      </c>
      <c r="B331" s="291" t="s">
        <v>510</v>
      </c>
      <c r="C331" s="724">
        <v>42485</v>
      </c>
      <c r="D331" s="725" t="s">
        <v>558</v>
      </c>
      <c r="E331" s="807">
        <v>47</v>
      </c>
      <c r="F331" s="808">
        <v>42</v>
      </c>
      <c r="G331" s="808">
        <v>24.5</v>
      </c>
      <c r="H331" s="798">
        <f t="shared" si="41"/>
        <v>1.27</v>
      </c>
      <c r="I331" s="257">
        <v>371</v>
      </c>
      <c r="J331" s="709">
        <f t="shared" si="42"/>
        <v>471.17</v>
      </c>
      <c r="K331" s="709">
        <f t="shared" si="43"/>
        <v>10825.526793907587</v>
      </c>
      <c r="L331" s="626">
        <v>9200</v>
      </c>
      <c r="M331" s="626"/>
      <c r="O331" s="704"/>
      <c r="P331" s="704"/>
      <c r="Q331" s="704"/>
      <c r="S331" s="704">
        <f t="shared" si="44"/>
        <v>3413200</v>
      </c>
      <c r="T331" s="903">
        <f t="shared" si="45"/>
        <v>4016270.4405397149</v>
      </c>
    </row>
    <row r="332" spans="1:20" ht="17.25" customHeight="1">
      <c r="A332" s="741">
        <f t="shared" si="38"/>
        <v>161</v>
      </c>
      <c r="B332" s="291" t="s">
        <v>510</v>
      </c>
      <c r="C332" s="724">
        <v>42485</v>
      </c>
      <c r="D332" s="725" t="s">
        <v>558</v>
      </c>
      <c r="E332" s="807">
        <v>47</v>
      </c>
      <c r="F332" s="808">
        <v>42</v>
      </c>
      <c r="G332" s="808">
        <v>24.5</v>
      </c>
      <c r="H332" s="798">
        <f t="shared" si="41"/>
        <v>1.27</v>
      </c>
      <c r="I332" s="257">
        <v>205</v>
      </c>
      <c r="J332" s="709">
        <f t="shared" si="42"/>
        <v>260.35000000000002</v>
      </c>
      <c r="K332" s="709">
        <f t="shared" si="43"/>
        <v>10825.526793907587</v>
      </c>
      <c r="L332" s="626">
        <v>9350</v>
      </c>
      <c r="M332" s="626"/>
      <c r="O332" s="704"/>
      <c r="P332" s="704"/>
      <c r="Q332" s="704"/>
      <c r="S332" s="704">
        <f t="shared" si="44"/>
        <v>1916750</v>
      </c>
      <c r="T332" s="903">
        <f t="shared" si="45"/>
        <v>2219232.9927510554</v>
      </c>
    </row>
    <row r="333" spans="1:20" ht="17.25" customHeight="1">
      <c r="A333" s="741">
        <f t="shared" si="38"/>
        <v>162</v>
      </c>
      <c r="B333" s="291" t="s">
        <v>1016</v>
      </c>
      <c r="C333" s="724">
        <v>42485</v>
      </c>
      <c r="D333" s="725" t="s">
        <v>559</v>
      </c>
      <c r="E333" s="807">
        <v>58</v>
      </c>
      <c r="F333" s="808">
        <v>31</v>
      </c>
      <c r="G333" s="808">
        <v>40</v>
      </c>
      <c r="H333" s="798">
        <f t="shared" si="41"/>
        <v>1.35</v>
      </c>
      <c r="I333" s="257">
        <v>220</v>
      </c>
      <c r="J333" s="709">
        <f t="shared" si="42"/>
        <v>297</v>
      </c>
      <c r="K333" s="709">
        <f t="shared" si="43"/>
        <v>11507.449741555311</v>
      </c>
      <c r="L333" s="626">
        <v>9700</v>
      </c>
      <c r="M333" s="626"/>
      <c r="O333" s="704"/>
      <c r="P333" s="704"/>
      <c r="Q333" s="704"/>
      <c r="S333" s="704">
        <f t="shared" si="44"/>
        <v>2134000</v>
      </c>
      <c r="T333" s="903">
        <f t="shared" si="45"/>
        <v>2531638.9431421682</v>
      </c>
    </row>
    <row r="334" spans="1:20" ht="17.25" customHeight="1">
      <c r="A334" s="741">
        <f t="shared" si="38"/>
        <v>163</v>
      </c>
      <c r="B334" s="291" t="s">
        <v>965</v>
      </c>
      <c r="C334" s="724">
        <v>42485</v>
      </c>
      <c r="D334" s="725" t="s">
        <v>559</v>
      </c>
      <c r="E334" s="807">
        <v>53</v>
      </c>
      <c r="F334" s="808">
        <v>42</v>
      </c>
      <c r="G334" s="808">
        <v>26</v>
      </c>
      <c r="H334" s="798">
        <f t="shared" si="41"/>
        <v>1.38</v>
      </c>
      <c r="I334" s="257">
        <v>210</v>
      </c>
      <c r="J334" s="709">
        <f t="shared" si="42"/>
        <v>289.79999999999995</v>
      </c>
      <c r="K334" s="709">
        <f t="shared" si="43"/>
        <v>11763.170846923203</v>
      </c>
      <c r="L334" s="626">
        <v>9800</v>
      </c>
      <c r="M334" s="626"/>
      <c r="O334" s="704"/>
      <c r="P334" s="704"/>
      <c r="Q334" s="704"/>
      <c r="S334" s="704">
        <f t="shared" si="44"/>
        <v>2058000</v>
      </c>
      <c r="T334" s="903">
        <f t="shared" si="45"/>
        <v>2470265.8778538727</v>
      </c>
    </row>
    <row r="335" spans="1:20" ht="17.25" customHeight="1">
      <c r="A335" s="741">
        <f t="shared" si="38"/>
        <v>164</v>
      </c>
      <c r="B335" s="291" t="s">
        <v>510</v>
      </c>
      <c r="C335" s="724">
        <v>42485</v>
      </c>
      <c r="D335" s="725" t="s">
        <v>559</v>
      </c>
      <c r="E335" s="807">
        <v>47</v>
      </c>
      <c r="F335" s="808">
        <v>42</v>
      </c>
      <c r="G335" s="808">
        <v>24.5</v>
      </c>
      <c r="H335" s="798">
        <f t="shared" si="41"/>
        <v>1.27</v>
      </c>
      <c r="I335" s="257">
        <v>645</v>
      </c>
      <c r="J335" s="709">
        <f t="shared" si="42"/>
        <v>819.15</v>
      </c>
      <c r="K335" s="709">
        <f t="shared" si="43"/>
        <v>10825.526793907587</v>
      </c>
      <c r="L335" s="626">
        <v>9200</v>
      </c>
      <c r="M335" s="626"/>
      <c r="O335" s="704"/>
      <c r="P335" s="704"/>
      <c r="Q335" s="704"/>
      <c r="S335" s="704">
        <f t="shared" si="44"/>
        <v>5934000</v>
      </c>
      <c r="T335" s="903">
        <f t="shared" si="45"/>
        <v>6982464.7820703937</v>
      </c>
    </row>
    <row r="336" spans="1:20" ht="17.25" customHeight="1">
      <c r="A336" s="741">
        <f t="shared" si="38"/>
        <v>165</v>
      </c>
      <c r="B336" s="291" t="s">
        <v>1017</v>
      </c>
      <c r="C336" s="724">
        <v>42485</v>
      </c>
      <c r="D336" s="725" t="s">
        <v>559</v>
      </c>
      <c r="E336" s="807">
        <v>63</v>
      </c>
      <c r="F336" s="808">
        <v>43</v>
      </c>
      <c r="G336" s="808">
        <v>18</v>
      </c>
      <c r="H336" s="798">
        <f t="shared" si="41"/>
        <v>1.39</v>
      </c>
      <c r="I336" s="257">
        <v>210</v>
      </c>
      <c r="J336" s="709">
        <f t="shared" si="42"/>
        <v>291.89999999999998</v>
      </c>
      <c r="K336" s="709">
        <f t="shared" si="43"/>
        <v>11848.41121537917</v>
      </c>
      <c r="L336" s="626">
        <v>9950</v>
      </c>
      <c r="M336" s="626"/>
      <c r="O336" s="704"/>
      <c r="P336" s="704"/>
      <c r="Q336" s="704"/>
      <c r="S336" s="704">
        <f t="shared" si="44"/>
        <v>2089500</v>
      </c>
      <c r="T336" s="903">
        <f t="shared" si="45"/>
        <v>2488166.3552296259</v>
      </c>
    </row>
    <row r="337" spans="1:20" ht="17.25" customHeight="1">
      <c r="A337" s="741">
        <f t="shared" si="38"/>
        <v>166</v>
      </c>
      <c r="B337" s="291" t="s">
        <v>1018</v>
      </c>
      <c r="C337" s="724">
        <v>42486</v>
      </c>
      <c r="D337" s="725" t="s">
        <v>564</v>
      </c>
      <c r="E337" s="807">
        <v>43</v>
      </c>
      <c r="F337" s="808">
        <v>40</v>
      </c>
      <c r="G337" s="808">
        <v>27</v>
      </c>
      <c r="H337" s="798">
        <f t="shared" si="41"/>
        <v>1.2</v>
      </c>
      <c r="I337" s="257">
        <v>105</v>
      </c>
      <c r="J337" s="709">
        <f t="shared" si="42"/>
        <v>126</v>
      </c>
      <c r="K337" s="709">
        <f t="shared" si="43"/>
        <v>10228.844214715829</v>
      </c>
      <c r="L337" s="626">
        <v>8700</v>
      </c>
      <c r="M337" s="626"/>
      <c r="O337" s="704"/>
      <c r="P337" s="704"/>
      <c r="Q337" s="704"/>
      <c r="S337" s="704">
        <f t="shared" si="44"/>
        <v>913500</v>
      </c>
      <c r="T337" s="903">
        <f t="shared" si="45"/>
        <v>1074028.642545162</v>
      </c>
    </row>
    <row r="338" spans="1:20" ht="17.25" customHeight="1">
      <c r="A338" s="741">
        <f t="shared" si="38"/>
        <v>167</v>
      </c>
      <c r="B338" s="291" t="s">
        <v>438</v>
      </c>
      <c r="C338" s="724">
        <v>42486</v>
      </c>
      <c r="D338" s="725" t="s">
        <v>564</v>
      </c>
      <c r="E338" s="807">
        <v>47</v>
      </c>
      <c r="F338" s="808">
        <v>42</v>
      </c>
      <c r="G338" s="808">
        <v>24.5</v>
      </c>
      <c r="H338" s="798">
        <f t="shared" si="41"/>
        <v>1.27</v>
      </c>
      <c r="I338" s="257">
        <v>125</v>
      </c>
      <c r="J338" s="709">
        <f t="shared" si="42"/>
        <v>158.75</v>
      </c>
      <c r="K338" s="709">
        <f t="shared" si="43"/>
        <v>10825.526793907587</v>
      </c>
      <c r="L338" s="626">
        <v>9500</v>
      </c>
      <c r="M338" s="626"/>
      <c r="O338" s="704"/>
      <c r="P338" s="704"/>
      <c r="Q338" s="704"/>
      <c r="S338" s="704">
        <f t="shared" si="44"/>
        <v>1187500</v>
      </c>
      <c r="T338" s="903">
        <f t="shared" si="45"/>
        <v>1353190.8492384485</v>
      </c>
    </row>
    <row r="339" spans="1:20" ht="17.25" customHeight="1">
      <c r="A339" s="741">
        <f t="shared" si="38"/>
        <v>168</v>
      </c>
      <c r="B339" s="291" t="s">
        <v>510</v>
      </c>
      <c r="C339" s="724">
        <v>42486</v>
      </c>
      <c r="D339" s="725" t="s">
        <v>564</v>
      </c>
      <c r="E339" s="807">
        <v>47</v>
      </c>
      <c r="F339" s="808">
        <v>42</v>
      </c>
      <c r="G339" s="808">
        <v>24.5</v>
      </c>
      <c r="H339" s="798">
        <f t="shared" si="41"/>
        <v>1.27</v>
      </c>
      <c r="I339" s="257">
        <v>644</v>
      </c>
      <c r="J339" s="709">
        <f t="shared" si="42"/>
        <v>817.88</v>
      </c>
      <c r="K339" s="709">
        <f t="shared" si="43"/>
        <v>10825.526793907587</v>
      </c>
      <c r="L339" s="626">
        <v>9200</v>
      </c>
      <c r="M339" s="626"/>
      <c r="O339" s="704"/>
      <c r="P339" s="704"/>
      <c r="Q339" s="704"/>
      <c r="S339" s="704">
        <f t="shared" si="44"/>
        <v>5924800</v>
      </c>
      <c r="T339" s="903">
        <f t="shared" si="45"/>
        <v>6971639.2552764863</v>
      </c>
    </row>
    <row r="340" spans="1:20" ht="17.25" customHeight="1">
      <c r="A340" s="741">
        <f t="shared" si="38"/>
        <v>169</v>
      </c>
      <c r="B340" s="291" t="s">
        <v>1019</v>
      </c>
      <c r="C340" s="724">
        <v>42486</v>
      </c>
      <c r="D340" s="725" t="s">
        <v>565</v>
      </c>
      <c r="E340" s="807">
        <v>33</v>
      </c>
      <c r="F340" s="808">
        <v>33</v>
      </c>
      <c r="G340" s="808">
        <v>27</v>
      </c>
      <c r="H340" s="798">
        <f t="shared" si="41"/>
        <v>0.86</v>
      </c>
      <c r="I340" s="257">
        <v>514</v>
      </c>
      <c r="J340" s="709">
        <f t="shared" si="42"/>
        <v>442.04</v>
      </c>
      <c r="K340" s="709">
        <f t="shared" si="43"/>
        <v>7330.6716872130119</v>
      </c>
      <c r="L340" s="626">
        <v>6650</v>
      </c>
      <c r="M340" s="626"/>
      <c r="O340" s="704"/>
      <c r="P340" s="704"/>
      <c r="Q340" s="704"/>
      <c r="S340" s="704">
        <f t="shared" si="44"/>
        <v>3418100</v>
      </c>
      <c r="T340" s="903">
        <f t="shared" si="45"/>
        <v>3767965.2472274881</v>
      </c>
    </row>
    <row r="341" spans="1:20" ht="17.25" customHeight="1">
      <c r="A341" s="741">
        <f t="shared" si="38"/>
        <v>170</v>
      </c>
      <c r="B341" s="291" t="s">
        <v>448</v>
      </c>
      <c r="C341" s="724">
        <v>42489</v>
      </c>
      <c r="D341" s="725" t="s">
        <v>566</v>
      </c>
      <c r="E341" s="807">
        <v>103</v>
      </c>
      <c r="F341" s="808">
        <v>50</v>
      </c>
      <c r="G341" s="808">
        <v>180</v>
      </c>
      <c r="H341" s="798">
        <f t="shared" si="41"/>
        <v>7.25</v>
      </c>
      <c r="I341" s="257">
        <v>208</v>
      </c>
      <c r="J341" s="709">
        <f t="shared" si="42"/>
        <v>1508</v>
      </c>
      <c r="K341" s="709">
        <f t="shared" si="43"/>
        <v>61799.267130574808</v>
      </c>
      <c r="L341" s="626">
        <v>47449</v>
      </c>
      <c r="M341" s="626"/>
      <c r="O341" s="704"/>
      <c r="P341" s="704"/>
      <c r="Q341" s="704"/>
      <c r="S341" s="704">
        <f t="shared" si="44"/>
        <v>9869392</v>
      </c>
      <c r="T341" s="903">
        <f t="shared" si="45"/>
        <v>12854247.563159561</v>
      </c>
    </row>
    <row r="342" spans="1:20" ht="17.25" customHeight="1">
      <c r="A342" s="741">
        <f t="shared" si="38"/>
        <v>171</v>
      </c>
      <c r="B342" s="291" t="s">
        <v>448</v>
      </c>
      <c r="C342" s="724">
        <v>42494</v>
      </c>
      <c r="D342" s="725" t="s">
        <v>567</v>
      </c>
      <c r="E342" s="807">
        <v>103</v>
      </c>
      <c r="F342" s="808">
        <v>50</v>
      </c>
      <c r="G342" s="808">
        <v>180</v>
      </c>
      <c r="H342" s="798">
        <f t="shared" si="41"/>
        <v>7.25</v>
      </c>
      <c r="I342" s="257">
        <v>101</v>
      </c>
      <c r="J342" s="709">
        <f t="shared" si="42"/>
        <v>732.25</v>
      </c>
      <c r="K342" s="709">
        <f t="shared" si="43"/>
        <v>61799.267130574808</v>
      </c>
      <c r="L342" s="626">
        <v>47449</v>
      </c>
      <c r="M342" s="626"/>
      <c r="O342" s="704"/>
      <c r="P342" s="704"/>
      <c r="Q342" s="704"/>
      <c r="S342" s="704">
        <f t="shared" si="44"/>
        <v>4792349</v>
      </c>
      <c r="T342" s="903">
        <f t="shared" si="45"/>
        <v>6241725.9801880559</v>
      </c>
    </row>
    <row r="343" spans="1:20" ht="17.25" customHeight="1">
      <c r="A343" s="741">
        <f t="shared" si="38"/>
        <v>172</v>
      </c>
      <c r="B343" s="291" t="s">
        <v>1469</v>
      </c>
      <c r="C343" s="724">
        <v>42494</v>
      </c>
      <c r="D343" s="725" t="s">
        <v>568</v>
      </c>
      <c r="E343" s="807">
        <v>42.5</v>
      </c>
      <c r="F343" s="808">
        <v>28.5</v>
      </c>
      <c r="G343" s="808">
        <v>23</v>
      </c>
      <c r="H343" s="798">
        <f t="shared" si="41"/>
        <v>0.8</v>
      </c>
      <c r="I343" s="257">
        <v>500</v>
      </c>
      <c r="J343" s="709">
        <f t="shared" si="42"/>
        <v>400</v>
      </c>
      <c r="K343" s="709">
        <f t="shared" si="43"/>
        <v>6819.2294764772205</v>
      </c>
      <c r="L343" s="626">
        <v>10200</v>
      </c>
      <c r="M343" s="626"/>
      <c r="O343" s="704"/>
      <c r="P343" s="704"/>
      <c r="Q343" s="704"/>
      <c r="S343" s="704">
        <f t="shared" si="44"/>
        <v>5100000</v>
      </c>
      <c r="T343" s="903">
        <f t="shared" si="45"/>
        <v>3409614.7382386103</v>
      </c>
    </row>
    <row r="344" spans="1:20" ht="17.25" customHeight="1">
      <c r="A344" s="741">
        <f t="shared" si="38"/>
        <v>173</v>
      </c>
      <c r="B344" s="291" t="s">
        <v>1463</v>
      </c>
      <c r="C344" s="724">
        <v>42494</v>
      </c>
      <c r="D344" s="725" t="s">
        <v>568</v>
      </c>
      <c r="E344" s="807">
        <v>20</v>
      </c>
      <c r="F344" s="808">
        <v>16.5</v>
      </c>
      <c r="G344" s="808">
        <v>9</v>
      </c>
      <c r="H344" s="798">
        <f t="shared" si="41"/>
        <v>0.22</v>
      </c>
      <c r="I344" s="257">
        <v>750</v>
      </c>
      <c r="J344" s="709">
        <f t="shared" ref="J344:J404" si="48">H344*I344</f>
        <v>165</v>
      </c>
      <c r="K344" s="709">
        <f t="shared" si="43"/>
        <v>1875.2881060312357</v>
      </c>
      <c r="L344" s="626">
        <v>2500</v>
      </c>
      <c r="M344" s="626"/>
      <c r="O344" s="704"/>
      <c r="P344" s="704"/>
      <c r="Q344" s="704"/>
      <c r="S344" s="704">
        <f t="shared" si="44"/>
        <v>1875000</v>
      </c>
      <c r="T344" s="903">
        <f t="shared" si="45"/>
        <v>1406466.0795234267</v>
      </c>
    </row>
    <row r="345" spans="1:20" ht="17.25" customHeight="1">
      <c r="A345" s="741">
        <f t="shared" ref="A345:A408" si="49">IF(B345&lt;&gt;"",ROW()-171,"")</f>
        <v>174</v>
      </c>
      <c r="B345" s="291" t="s">
        <v>1464</v>
      </c>
      <c r="C345" s="724">
        <v>42494</v>
      </c>
      <c r="D345" s="725" t="s">
        <v>568</v>
      </c>
      <c r="E345" s="807">
        <v>31</v>
      </c>
      <c r="F345" s="808">
        <v>15.3</v>
      </c>
      <c r="G345" s="808">
        <v>9</v>
      </c>
      <c r="H345" s="798">
        <f t="shared" si="41"/>
        <v>0.27</v>
      </c>
      <c r="I345" s="257">
        <v>300</v>
      </c>
      <c r="J345" s="709">
        <f t="shared" si="48"/>
        <v>81</v>
      </c>
      <c r="K345" s="709">
        <f t="shared" ref="K345:K408" si="50">H345*$R$311</f>
        <v>2301.4899483110621</v>
      </c>
      <c r="L345" s="626">
        <v>3200</v>
      </c>
      <c r="M345" s="626"/>
      <c r="O345" s="704"/>
      <c r="P345" s="704"/>
      <c r="Q345" s="704"/>
      <c r="S345" s="704">
        <f t="shared" si="44"/>
        <v>960000</v>
      </c>
      <c r="T345" s="903">
        <f t="shared" si="45"/>
        <v>690446.9844933186</v>
      </c>
    </row>
    <row r="346" spans="1:20" ht="17.25" customHeight="1">
      <c r="A346" s="741">
        <f t="shared" si="49"/>
        <v>175</v>
      </c>
      <c r="B346" s="291" t="s">
        <v>1337</v>
      </c>
      <c r="C346" s="724">
        <v>42495</v>
      </c>
      <c r="D346" s="725" t="s">
        <v>569</v>
      </c>
      <c r="E346" s="803">
        <v>43</v>
      </c>
      <c r="F346" s="802">
        <v>42</v>
      </c>
      <c r="G346" s="802">
        <v>26</v>
      </c>
      <c r="H346" s="798">
        <f t="shared" ref="H346:H409" si="51">IF(G346&lt;&gt;"",ROUND(((E346+F346)*2+5)*(F346+G346+3)/10000,2),ROUND(E346*F346/10000,2))</f>
        <v>1.24</v>
      </c>
      <c r="I346" s="257">
        <v>500</v>
      </c>
      <c r="J346" s="709">
        <f t="shared" si="48"/>
        <v>620</v>
      </c>
      <c r="K346" s="709">
        <f t="shared" si="50"/>
        <v>10569.805688539691</v>
      </c>
      <c r="L346" s="626">
        <v>12400</v>
      </c>
      <c r="M346" s="626"/>
      <c r="O346" s="704"/>
      <c r="P346" s="704"/>
      <c r="Q346" s="704"/>
      <c r="S346" s="704">
        <f t="shared" ref="S346:S409" si="52">I346*L346</f>
        <v>6200000</v>
      </c>
      <c r="T346" s="903">
        <f t="shared" ref="T346:T409" si="53">I346*K346</f>
        <v>5284902.8442698456</v>
      </c>
    </row>
    <row r="347" spans="1:20" ht="17.25" customHeight="1">
      <c r="A347" s="741">
        <f t="shared" si="49"/>
        <v>176</v>
      </c>
      <c r="B347" s="291" t="s">
        <v>1020</v>
      </c>
      <c r="C347" s="724">
        <v>42495</v>
      </c>
      <c r="D347" s="725" t="s">
        <v>571</v>
      </c>
      <c r="E347" s="807">
        <v>64</v>
      </c>
      <c r="F347" s="808">
        <v>46</v>
      </c>
      <c r="G347" s="808">
        <v>130</v>
      </c>
      <c r="H347" s="798">
        <f t="shared" si="51"/>
        <v>4.03</v>
      </c>
      <c r="I347" s="257">
        <v>22</v>
      </c>
      <c r="J347" s="709">
        <f t="shared" si="48"/>
        <v>88.660000000000011</v>
      </c>
      <c r="K347" s="709">
        <f t="shared" si="50"/>
        <v>34351.868487754</v>
      </c>
      <c r="L347" s="626">
        <v>35000</v>
      </c>
      <c r="M347" s="626"/>
      <c r="O347" s="704"/>
      <c r="P347" s="704"/>
      <c r="Q347" s="704"/>
      <c r="S347" s="704">
        <f t="shared" si="52"/>
        <v>770000</v>
      </c>
      <c r="T347" s="903">
        <f t="shared" si="53"/>
        <v>755741.10673058801</v>
      </c>
    </row>
    <row r="348" spans="1:20" ht="17.25" customHeight="1">
      <c r="A348" s="741">
        <f t="shared" si="49"/>
        <v>177</v>
      </c>
      <c r="B348" s="291" t="s">
        <v>448</v>
      </c>
      <c r="C348" s="724">
        <v>42495</v>
      </c>
      <c r="D348" s="725" t="s">
        <v>571</v>
      </c>
      <c r="E348" s="807">
        <v>103</v>
      </c>
      <c r="F348" s="808">
        <v>50</v>
      </c>
      <c r="G348" s="808">
        <v>180</v>
      </c>
      <c r="H348" s="798">
        <f t="shared" si="51"/>
        <v>7.25</v>
      </c>
      <c r="I348" s="257">
        <v>120</v>
      </c>
      <c r="J348" s="709">
        <f t="shared" si="48"/>
        <v>870</v>
      </c>
      <c r="K348" s="709">
        <f t="shared" si="50"/>
        <v>61799.267130574808</v>
      </c>
      <c r="L348" s="626">
        <v>47449</v>
      </c>
      <c r="M348" s="626"/>
      <c r="O348" s="704"/>
      <c r="P348" s="704"/>
      <c r="Q348" s="704"/>
      <c r="S348" s="704">
        <f t="shared" si="52"/>
        <v>5693880</v>
      </c>
      <c r="T348" s="903">
        <f t="shared" si="53"/>
        <v>7415912.0556689771</v>
      </c>
    </row>
    <row r="349" spans="1:20" ht="17.25" customHeight="1">
      <c r="A349" s="741">
        <f t="shared" si="49"/>
        <v>178</v>
      </c>
      <c r="B349" s="291" t="s">
        <v>510</v>
      </c>
      <c r="C349" s="724">
        <v>42496</v>
      </c>
      <c r="D349" s="725" t="s">
        <v>709</v>
      </c>
      <c r="E349" s="807">
        <v>47</v>
      </c>
      <c r="F349" s="808">
        <v>42</v>
      </c>
      <c r="G349" s="808">
        <v>24.5</v>
      </c>
      <c r="H349" s="798">
        <f t="shared" si="51"/>
        <v>1.27</v>
      </c>
      <c r="I349" s="257">
        <v>469</v>
      </c>
      <c r="J349" s="709">
        <f t="shared" si="48"/>
        <v>595.63</v>
      </c>
      <c r="K349" s="709">
        <f t="shared" si="50"/>
        <v>10825.526793907587</v>
      </c>
      <c r="L349" s="626">
        <v>9200</v>
      </c>
      <c r="M349" s="626"/>
      <c r="O349" s="704"/>
      <c r="P349" s="704"/>
      <c r="Q349" s="704"/>
      <c r="S349" s="704">
        <f t="shared" si="52"/>
        <v>4314800</v>
      </c>
      <c r="T349" s="903">
        <f t="shared" si="53"/>
        <v>5077172.0663426584</v>
      </c>
    </row>
    <row r="350" spans="1:20" ht="17.25" customHeight="1">
      <c r="A350" s="741">
        <f t="shared" si="49"/>
        <v>179</v>
      </c>
      <c r="B350" s="291" t="s">
        <v>1021</v>
      </c>
      <c r="C350" s="724">
        <v>42496</v>
      </c>
      <c r="D350" s="725" t="s">
        <v>572</v>
      </c>
      <c r="E350" s="807">
        <v>32</v>
      </c>
      <c r="F350" s="808">
        <v>23</v>
      </c>
      <c r="G350" s="808">
        <v>22.5</v>
      </c>
      <c r="H350" s="798">
        <f t="shared" si="51"/>
        <v>0.56000000000000005</v>
      </c>
      <c r="I350" s="257">
        <v>46</v>
      </c>
      <c r="J350" s="709">
        <f t="shared" si="48"/>
        <v>25.76</v>
      </c>
      <c r="K350" s="709">
        <f t="shared" si="50"/>
        <v>4773.460633534055</v>
      </c>
      <c r="L350" s="626">
        <v>7600</v>
      </c>
      <c r="M350" s="626"/>
      <c r="O350" s="704"/>
      <c r="P350" s="704"/>
      <c r="Q350" s="704"/>
      <c r="S350" s="704">
        <f t="shared" si="52"/>
        <v>349600</v>
      </c>
      <c r="T350" s="903">
        <f t="shared" si="53"/>
        <v>219579.18914256652</v>
      </c>
    </row>
    <row r="351" spans="1:20" ht="17.25" customHeight="1">
      <c r="A351" s="741">
        <f t="shared" si="49"/>
        <v>180</v>
      </c>
      <c r="B351" s="291" t="s">
        <v>1022</v>
      </c>
      <c r="C351" s="724">
        <v>42496</v>
      </c>
      <c r="D351" s="725" t="s">
        <v>572</v>
      </c>
      <c r="E351" s="807">
        <v>80.5</v>
      </c>
      <c r="F351" s="808">
        <v>60.5</v>
      </c>
      <c r="G351" s="808">
        <v>99</v>
      </c>
      <c r="H351" s="798">
        <f t="shared" si="51"/>
        <v>4.66</v>
      </c>
      <c r="I351" s="257">
        <v>53</v>
      </c>
      <c r="J351" s="709">
        <f t="shared" si="48"/>
        <v>246.98000000000002</v>
      </c>
      <c r="K351" s="709">
        <f t="shared" si="50"/>
        <v>39722.011700479808</v>
      </c>
      <c r="L351" s="626">
        <v>31300</v>
      </c>
      <c r="M351" s="626"/>
      <c r="O351" s="704"/>
      <c r="P351" s="704"/>
      <c r="Q351" s="704"/>
      <c r="S351" s="704">
        <f t="shared" si="52"/>
        <v>1658900</v>
      </c>
      <c r="T351" s="903">
        <f t="shared" si="53"/>
        <v>2105266.6201254297</v>
      </c>
    </row>
    <row r="352" spans="1:20" ht="17.25" customHeight="1">
      <c r="A352" s="741">
        <f t="shared" si="49"/>
        <v>181</v>
      </c>
      <c r="B352" s="291" t="s">
        <v>1023</v>
      </c>
      <c r="C352" s="724">
        <v>42496</v>
      </c>
      <c r="D352" s="725" t="s">
        <v>572</v>
      </c>
      <c r="E352" s="807">
        <v>80.5</v>
      </c>
      <c r="F352" s="808">
        <v>60.5</v>
      </c>
      <c r="G352" s="808">
        <v>76</v>
      </c>
      <c r="H352" s="798">
        <f t="shared" si="51"/>
        <v>4</v>
      </c>
      <c r="I352" s="257">
        <v>53</v>
      </c>
      <c r="J352" s="709">
        <f t="shared" si="48"/>
        <v>212</v>
      </c>
      <c r="K352" s="709">
        <f t="shared" si="50"/>
        <v>34096.147382386102</v>
      </c>
      <c r="L352" s="626">
        <v>27000</v>
      </c>
      <c r="M352" s="626"/>
      <c r="O352" s="704"/>
      <c r="P352" s="704"/>
      <c r="Q352" s="704"/>
      <c r="S352" s="704">
        <f t="shared" si="52"/>
        <v>1431000</v>
      </c>
      <c r="T352" s="903">
        <f t="shared" si="53"/>
        <v>1807095.8112664635</v>
      </c>
    </row>
    <row r="353" spans="1:20" ht="17.25" customHeight="1">
      <c r="A353" s="741">
        <f t="shared" si="49"/>
        <v>182</v>
      </c>
      <c r="B353" s="291" t="s">
        <v>1023</v>
      </c>
      <c r="C353" s="724">
        <v>42496</v>
      </c>
      <c r="D353" s="725" t="s">
        <v>572</v>
      </c>
      <c r="E353" s="807">
        <v>80.5</v>
      </c>
      <c r="F353" s="808">
        <v>60.5</v>
      </c>
      <c r="G353" s="808">
        <v>76</v>
      </c>
      <c r="H353" s="798">
        <f t="shared" si="51"/>
        <v>4</v>
      </c>
      <c r="I353" s="257">
        <v>54</v>
      </c>
      <c r="J353" s="709">
        <f t="shared" si="48"/>
        <v>216</v>
      </c>
      <c r="K353" s="709">
        <f t="shared" si="50"/>
        <v>34096.147382386102</v>
      </c>
      <c r="L353" s="626">
        <v>22200</v>
      </c>
      <c r="M353" s="626"/>
      <c r="O353" s="704"/>
      <c r="P353" s="704"/>
      <c r="Q353" s="704"/>
      <c r="S353" s="704">
        <f t="shared" si="52"/>
        <v>1198800</v>
      </c>
      <c r="T353" s="903">
        <f t="shared" si="53"/>
        <v>1841191.9586488495</v>
      </c>
    </row>
    <row r="354" spans="1:20" ht="17.25" customHeight="1">
      <c r="A354" s="741">
        <f t="shared" si="49"/>
        <v>183</v>
      </c>
      <c r="B354" s="291" t="s">
        <v>1024</v>
      </c>
      <c r="C354" s="724">
        <v>42496</v>
      </c>
      <c r="D354" s="725" t="s">
        <v>572</v>
      </c>
      <c r="E354" s="807">
        <v>110.5</v>
      </c>
      <c r="F354" s="808">
        <v>60.5</v>
      </c>
      <c r="G354" s="808">
        <v>99</v>
      </c>
      <c r="H354" s="798">
        <f t="shared" si="51"/>
        <v>5.64</v>
      </c>
      <c r="I354" s="257">
        <v>51</v>
      </c>
      <c r="J354" s="709">
        <f t="shared" si="48"/>
        <v>287.64</v>
      </c>
      <c r="K354" s="709">
        <f t="shared" si="50"/>
        <v>48075.5678091644</v>
      </c>
      <c r="L354" s="626">
        <v>40300</v>
      </c>
      <c r="M354" s="626"/>
      <c r="O354" s="704"/>
      <c r="P354" s="704"/>
      <c r="Q354" s="704"/>
      <c r="S354" s="704">
        <f t="shared" si="52"/>
        <v>2055300</v>
      </c>
      <c r="T354" s="903">
        <f t="shared" si="53"/>
        <v>2451853.9582673842</v>
      </c>
    </row>
    <row r="355" spans="1:20" ht="17.25" customHeight="1">
      <c r="A355" s="741">
        <f t="shared" si="49"/>
        <v>184</v>
      </c>
      <c r="B355" s="291" t="s">
        <v>1025</v>
      </c>
      <c r="C355" s="724">
        <v>42496</v>
      </c>
      <c r="D355" s="725" t="s">
        <v>572</v>
      </c>
      <c r="E355" s="807">
        <v>60.5</v>
      </c>
      <c r="F355" s="808">
        <v>36.5</v>
      </c>
      <c r="G355" s="808">
        <v>45</v>
      </c>
      <c r="H355" s="798">
        <f t="shared" si="51"/>
        <v>1.68</v>
      </c>
      <c r="I355" s="257">
        <v>108</v>
      </c>
      <c r="J355" s="709">
        <f t="shared" si="48"/>
        <v>181.44</v>
      </c>
      <c r="K355" s="709">
        <f t="shared" si="50"/>
        <v>14320.381900602162</v>
      </c>
      <c r="L355" s="626">
        <v>13100</v>
      </c>
      <c r="M355" s="626"/>
      <c r="O355" s="704"/>
      <c r="P355" s="704"/>
      <c r="Q355" s="704"/>
      <c r="S355" s="704">
        <f t="shared" si="52"/>
        <v>1414800</v>
      </c>
      <c r="T355" s="903">
        <f t="shared" si="53"/>
        <v>1546601.2452650336</v>
      </c>
    </row>
    <row r="356" spans="1:20" ht="17.25" customHeight="1">
      <c r="A356" s="741">
        <f t="shared" si="49"/>
        <v>185</v>
      </c>
      <c r="B356" s="291" t="s">
        <v>1026</v>
      </c>
      <c r="C356" s="724">
        <v>42496</v>
      </c>
      <c r="D356" s="725" t="s">
        <v>572</v>
      </c>
      <c r="E356" s="807">
        <v>38.5</v>
      </c>
      <c r="F356" s="808">
        <v>33</v>
      </c>
      <c r="G356" s="808">
        <v>30.5</v>
      </c>
      <c r="H356" s="798">
        <f t="shared" si="51"/>
        <v>0.98</v>
      </c>
      <c r="I356" s="257">
        <v>37</v>
      </c>
      <c r="J356" s="709">
        <f t="shared" si="48"/>
        <v>36.26</v>
      </c>
      <c r="K356" s="709">
        <f t="shared" si="50"/>
        <v>8353.5561086845955</v>
      </c>
      <c r="L356" s="626">
        <v>9000</v>
      </c>
      <c r="M356" s="626"/>
      <c r="O356" s="704"/>
      <c r="P356" s="704"/>
      <c r="Q356" s="704"/>
      <c r="S356" s="704">
        <f t="shared" si="52"/>
        <v>333000</v>
      </c>
      <c r="T356" s="903">
        <f t="shared" si="53"/>
        <v>309081.57602133002</v>
      </c>
    </row>
    <row r="357" spans="1:20" ht="17.25" customHeight="1">
      <c r="A357" s="741">
        <f t="shared" si="49"/>
        <v>186</v>
      </c>
      <c r="B357" s="291" t="s">
        <v>1027</v>
      </c>
      <c r="C357" s="724">
        <v>42496</v>
      </c>
      <c r="D357" s="725" t="s">
        <v>572</v>
      </c>
      <c r="E357" s="807">
        <v>62.5</v>
      </c>
      <c r="F357" s="808">
        <v>60.5</v>
      </c>
      <c r="G357" s="808">
        <v>60</v>
      </c>
      <c r="H357" s="798">
        <f t="shared" si="51"/>
        <v>3.1</v>
      </c>
      <c r="I357" s="257">
        <v>50</v>
      </c>
      <c r="J357" s="709">
        <f t="shared" si="48"/>
        <v>155</v>
      </c>
      <c r="K357" s="709">
        <f t="shared" si="50"/>
        <v>26424.514221349229</v>
      </c>
      <c r="L357" s="626">
        <v>20000</v>
      </c>
      <c r="M357" s="626"/>
      <c r="O357" s="704"/>
      <c r="P357" s="704"/>
      <c r="Q357" s="704"/>
      <c r="S357" s="704">
        <f t="shared" si="52"/>
        <v>1000000</v>
      </c>
      <c r="T357" s="903">
        <f t="shared" si="53"/>
        <v>1321225.7110674614</v>
      </c>
    </row>
    <row r="358" spans="1:20" ht="17.25" customHeight="1">
      <c r="A358" s="741">
        <f t="shared" si="49"/>
        <v>187</v>
      </c>
      <c r="B358" s="291" t="s">
        <v>1028</v>
      </c>
      <c r="C358" s="724">
        <v>42496</v>
      </c>
      <c r="D358" s="725" t="s">
        <v>573</v>
      </c>
      <c r="E358" s="807">
        <v>45.5</v>
      </c>
      <c r="F358" s="808">
        <v>41</v>
      </c>
      <c r="G358" s="808">
        <v>23.5</v>
      </c>
      <c r="H358" s="798">
        <f t="shared" si="51"/>
        <v>1.2</v>
      </c>
      <c r="I358" s="257">
        <v>30</v>
      </c>
      <c r="J358" s="709">
        <f t="shared" si="48"/>
        <v>36</v>
      </c>
      <c r="K358" s="709">
        <f t="shared" si="50"/>
        <v>10228.844214715829</v>
      </c>
      <c r="L358" s="626">
        <v>8800</v>
      </c>
      <c r="M358" s="626"/>
      <c r="O358" s="704"/>
      <c r="P358" s="704"/>
      <c r="Q358" s="704"/>
      <c r="S358" s="704">
        <f t="shared" si="52"/>
        <v>264000</v>
      </c>
      <c r="T358" s="903">
        <f t="shared" si="53"/>
        <v>306865.3264414749</v>
      </c>
    </row>
    <row r="359" spans="1:20" ht="17.25" customHeight="1">
      <c r="A359" s="741">
        <f t="shared" si="49"/>
        <v>188</v>
      </c>
      <c r="B359" s="291" t="s">
        <v>1029</v>
      </c>
      <c r="C359" s="724">
        <v>42496</v>
      </c>
      <c r="D359" s="725" t="s">
        <v>573</v>
      </c>
      <c r="E359" s="807">
        <v>42</v>
      </c>
      <c r="F359" s="808">
        <v>12</v>
      </c>
      <c r="G359" s="808">
        <v>33</v>
      </c>
      <c r="H359" s="798">
        <f t="shared" si="51"/>
        <v>0.54</v>
      </c>
      <c r="I359" s="257">
        <v>60</v>
      </c>
      <c r="J359" s="709">
        <f t="shared" si="48"/>
        <v>32.400000000000006</v>
      </c>
      <c r="K359" s="709">
        <f t="shared" si="50"/>
        <v>4602.9798966221242</v>
      </c>
      <c r="L359" s="626">
        <v>11000</v>
      </c>
      <c r="M359" s="626"/>
      <c r="O359" s="704"/>
      <c r="P359" s="704"/>
      <c r="Q359" s="704"/>
      <c r="S359" s="704">
        <f t="shared" si="52"/>
        <v>660000</v>
      </c>
      <c r="T359" s="903">
        <f t="shared" si="53"/>
        <v>276178.79379732744</v>
      </c>
    </row>
    <row r="360" spans="1:20" ht="17.25" customHeight="1">
      <c r="A360" s="741">
        <f t="shared" si="49"/>
        <v>189</v>
      </c>
      <c r="B360" s="291" t="s">
        <v>1030</v>
      </c>
      <c r="C360" s="724">
        <v>42496</v>
      </c>
      <c r="D360" s="725" t="s">
        <v>573</v>
      </c>
      <c r="E360" s="807">
        <v>42</v>
      </c>
      <c r="F360" s="808">
        <v>42</v>
      </c>
      <c r="G360" s="808">
        <v>28</v>
      </c>
      <c r="H360" s="798">
        <f t="shared" si="51"/>
        <v>1.26</v>
      </c>
      <c r="I360" s="257">
        <v>60</v>
      </c>
      <c r="J360" s="709">
        <f t="shared" si="48"/>
        <v>75.599999999999994</v>
      </c>
      <c r="K360" s="709">
        <f t="shared" si="50"/>
        <v>10740.286425451623</v>
      </c>
      <c r="L360" s="626">
        <v>10000</v>
      </c>
      <c r="M360" s="626"/>
      <c r="O360" s="704"/>
      <c r="P360" s="704"/>
      <c r="Q360" s="704"/>
      <c r="S360" s="704">
        <f t="shared" si="52"/>
        <v>600000</v>
      </c>
      <c r="T360" s="903">
        <f t="shared" si="53"/>
        <v>644417.18552709732</v>
      </c>
    </row>
    <row r="361" spans="1:20" ht="17.25" customHeight="1">
      <c r="A361" s="741">
        <f t="shared" si="49"/>
        <v>190</v>
      </c>
      <c r="B361" s="291" t="s">
        <v>1031</v>
      </c>
      <c r="C361" s="724">
        <v>42496</v>
      </c>
      <c r="D361" s="725" t="s">
        <v>573</v>
      </c>
      <c r="E361" s="807">
        <v>35.5</v>
      </c>
      <c r="F361" s="808">
        <v>28</v>
      </c>
      <c r="G361" s="808">
        <v>25.5</v>
      </c>
      <c r="H361" s="798">
        <f t="shared" si="51"/>
        <v>0.75</v>
      </c>
      <c r="I361" s="257">
        <v>36</v>
      </c>
      <c r="J361" s="709">
        <f t="shared" si="48"/>
        <v>27</v>
      </c>
      <c r="K361" s="709">
        <f t="shared" si="50"/>
        <v>6393.027634197394</v>
      </c>
      <c r="L361" s="626">
        <v>8000</v>
      </c>
      <c r="M361" s="626"/>
      <c r="O361" s="704"/>
      <c r="P361" s="704"/>
      <c r="Q361" s="704"/>
      <c r="S361" s="704">
        <f t="shared" si="52"/>
        <v>288000</v>
      </c>
      <c r="T361" s="903">
        <f t="shared" si="53"/>
        <v>230148.99483110619</v>
      </c>
    </row>
    <row r="362" spans="1:20" ht="17.25" customHeight="1">
      <c r="A362" s="741">
        <f t="shared" si="49"/>
        <v>191</v>
      </c>
      <c r="B362" s="291" t="s">
        <v>1032</v>
      </c>
      <c r="C362" s="724">
        <v>42496</v>
      </c>
      <c r="D362" s="725" t="s">
        <v>573</v>
      </c>
      <c r="E362" s="807">
        <v>55</v>
      </c>
      <c r="F362" s="808">
        <v>51</v>
      </c>
      <c r="G362" s="808">
        <v>69</v>
      </c>
      <c r="H362" s="798">
        <f t="shared" si="51"/>
        <v>2.67</v>
      </c>
      <c r="I362" s="257">
        <v>24</v>
      </c>
      <c r="J362" s="709">
        <f t="shared" si="48"/>
        <v>64.08</v>
      </c>
      <c r="K362" s="709">
        <f t="shared" si="50"/>
        <v>22759.178377742723</v>
      </c>
      <c r="L362" s="626">
        <v>26000</v>
      </c>
      <c r="M362" s="626"/>
      <c r="O362" s="704"/>
      <c r="P362" s="704"/>
      <c r="Q362" s="704"/>
      <c r="S362" s="704">
        <f t="shared" si="52"/>
        <v>624000</v>
      </c>
      <c r="T362" s="903">
        <f t="shared" si="53"/>
        <v>546220.28106582537</v>
      </c>
    </row>
    <row r="363" spans="1:20" ht="17.25" customHeight="1">
      <c r="A363" s="741">
        <f t="shared" si="49"/>
        <v>192</v>
      </c>
      <c r="B363" s="291" t="s">
        <v>1033</v>
      </c>
      <c r="C363" s="724">
        <v>42496</v>
      </c>
      <c r="D363" s="725" t="s">
        <v>573</v>
      </c>
      <c r="E363" s="807">
        <v>54</v>
      </c>
      <c r="F363" s="808">
        <v>49</v>
      </c>
      <c r="G363" s="808">
        <v>70</v>
      </c>
      <c r="H363" s="798">
        <f t="shared" si="51"/>
        <v>2.57</v>
      </c>
      <c r="I363" s="257">
        <v>20</v>
      </c>
      <c r="J363" s="709">
        <f t="shared" si="48"/>
        <v>51.4</v>
      </c>
      <c r="K363" s="709">
        <f t="shared" si="50"/>
        <v>21906.77469318307</v>
      </c>
      <c r="L363" s="626">
        <v>24000</v>
      </c>
      <c r="M363" s="626"/>
      <c r="O363" s="704"/>
      <c r="P363" s="704"/>
      <c r="Q363" s="704"/>
      <c r="S363" s="704">
        <f t="shared" si="52"/>
        <v>480000</v>
      </c>
      <c r="T363" s="903">
        <f t="shared" si="53"/>
        <v>438135.49386366142</v>
      </c>
    </row>
    <row r="364" spans="1:20" ht="17.25" customHeight="1">
      <c r="A364" s="741">
        <f t="shared" si="49"/>
        <v>193</v>
      </c>
      <c r="B364" s="291" t="s">
        <v>1034</v>
      </c>
      <c r="C364" s="724">
        <v>42496</v>
      </c>
      <c r="D364" s="725" t="s">
        <v>573</v>
      </c>
      <c r="E364" s="807">
        <v>55</v>
      </c>
      <c r="F364" s="808">
        <v>51</v>
      </c>
      <c r="G364" s="808">
        <v>72</v>
      </c>
      <c r="H364" s="798">
        <f t="shared" si="51"/>
        <v>2.73</v>
      </c>
      <c r="I364" s="257">
        <v>22</v>
      </c>
      <c r="J364" s="709">
        <f t="shared" si="48"/>
        <v>60.06</v>
      </c>
      <c r="K364" s="709">
        <f t="shared" si="50"/>
        <v>23270.620588478516</v>
      </c>
      <c r="L364" s="626">
        <v>27800</v>
      </c>
      <c r="M364" s="626"/>
      <c r="O364" s="704"/>
      <c r="P364" s="704"/>
      <c r="Q364" s="704"/>
      <c r="S364" s="704">
        <f t="shared" si="52"/>
        <v>611600</v>
      </c>
      <c r="T364" s="903">
        <f t="shared" si="53"/>
        <v>511953.65294652735</v>
      </c>
    </row>
    <row r="365" spans="1:20" ht="17.25" customHeight="1">
      <c r="A365" s="741">
        <f t="shared" si="49"/>
        <v>194</v>
      </c>
      <c r="B365" s="291" t="s">
        <v>1035</v>
      </c>
      <c r="C365" s="724">
        <v>42496</v>
      </c>
      <c r="D365" s="725" t="s">
        <v>573</v>
      </c>
      <c r="E365" s="807">
        <v>61</v>
      </c>
      <c r="F365" s="808">
        <v>59</v>
      </c>
      <c r="G365" s="808">
        <v>80</v>
      </c>
      <c r="H365" s="798">
        <f t="shared" si="51"/>
        <v>3.48</v>
      </c>
      <c r="I365" s="257">
        <v>20</v>
      </c>
      <c r="J365" s="709">
        <f t="shared" si="48"/>
        <v>69.599999999999994</v>
      </c>
      <c r="K365" s="709">
        <f t="shared" si="50"/>
        <v>29663.648222675907</v>
      </c>
      <c r="L365" s="626">
        <v>31000</v>
      </c>
      <c r="M365" s="626"/>
      <c r="O365" s="704"/>
      <c r="P365" s="704"/>
      <c r="Q365" s="704"/>
      <c r="S365" s="704">
        <f t="shared" si="52"/>
        <v>620000</v>
      </c>
      <c r="T365" s="903">
        <f t="shared" si="53"/>
        <v>593272.96445351816</v>
      </c>
    </row>
    <row r="366" spans="1:20" ht="17.25" customHeight="1">
      <c r="A366" s="741">
        <f t="shared" si="49"/>
        <v>195</v>
      </c>
      <c r="B366" s="291" t="s">
        <v>1036</v>
      </c>
      <c r="C366" s="724">
        <v>42496</v>
      </c>
      <c r="D366" s="725" t="s">
        <v>573</v>
      </c>
      <c r="E366" s="807">
        <v>61</v>
      </c>
      <c r="F366" s="808">
        <v>50</v>
      </c>
      <c r="G366" s="808">
        <v>81</v>
      </c>
      <c r="H366" s="798">
        <f t="shared" si="51"/>
        <v>3.04</v>
      </c>
      <c r="I366" s="257">
        <v>20</v>
      </c>
      <c r="J366" s="709">
        <f t="shared" si="48"/>
        <v>60.8</v>
      </c>
      <c r="K366" s="709">
        <f t="shared" si="50"/>
        <v>25913.072010613436</v>
      </c>
      <c r="L366" s="626">
        <v>33000</v>
      </c>
      <c r="M366" s="626"/>
      <c r="O366" s="704"/>
      <c r="P366" s="704"/>
      <c r="Q366" s="704"/>
      <c r="S366" s="704">
        <f t="shared" si="52"/>
        <v>660000</v>
      </c>
      <c r="T366" s="903">
        <f t="shared" si="53"/>
        <v>518261.44021226873</v>
      </c>
    </row>
    <row r="367" spans="1:20" ht="17.25" customHeight="1">
      <c r="A367" s="741">
        <f t="shared" si="49"/>
        <v>196</v>
      </c>
      <c r="B367" s="291" t="s">
        <v>1037</v>
      </c>
      <c r="C367" s="724">
        <v>42497</v>
      </c>
      <c r="D367" s="725" t="s">
        <v>575</v>
      </c>
      <c r="E367" s="807">
        <v>47</v>
      </c>
      <c r="F367" s="808">
        <v>46</v>
      </c>
      <c r="G367" s="808">
        <v>36</v>
      </c>
      <c r="H367" s="798">
        <f t="shared" si="51"/>
        <v>1.62</v>
      </c>
      <c r="I367" s="257">
        <v>20</v>
      </c>
      <c r="J367" s="709">
        <f t="shared" si="48"/>
        <v>32.400000000000006</v>
      </c>
      <c r="K367" s="709">
        <f t="shared" si="50"/>
        <v>13808.939689866373</v>
      </c>
      <c r="L367" s="626">
        <v>13200</v>
      </c>
      <c r="M367" s="626"/>
      <c r="O367" s="704"/>
      <c r="P367" s="704"/>
      <c r="Q367" s="704"/>
      <c r="S367" s="704">
        <f t="shared" si="52"/>
        <v>264000</v>
      </c>
      <c r="T367" s="903">
        <f t="shared" si="53"/>
        <v>276178.79379732744</v>
      </c>
    </row>
    <row r="368" spans="1:20" ht="17.25" customHeight="1">
      <c r="A368" s="741">
        <f t="shared" si="49"/>
        <v>197</v>
      </c>
      <c r="B368" s="291" t="s">
        <v>1038</v>
      </c>
      <c r="C368" s="724">
        <v>42497</v>
      </c>
      <c r="D368" s="725" t="s">
        <v>575</v>
      </c>
      <c r="E368" s="807">
        <v>54</v>
      </c>
      <c r="F368" s="808">
        <v>42</v>
      </c>
      <c r="G368" s="808">
        <v>50</v>
      </c>
      <c r="H368" s="798">
        <f t="shared" si="51"/>
        <v>1.87</v>
      </c>
      <c r="I368" s="257">
        <v>20</v>
      </c>
      <c r="J368" s="709">
        <f t="shared" si="48"/>
        <v>37.400000000000006</v>
      </c>
      <c r="K368" s="709">
        <f t="shared" si="50"/>
        <v>15939.948901265503</v>
      </c>
      <c r="L368" s="626">
        <v>17000</v>
      </c>
      <c r="M368" s="626"/>
      <c r="O368" s="704"/>
      <c r="P368" s="704"/>
      <c r="Q368" s="704"/>
      <c r="S368" s="704">
        <f t="shared" si="52"/>
        <v>340000</v>
      </c>
      <c r="T368" s="903">
        <f t="shared" si="53"/>
        <v>318798.97802531009</v>
      </c>
    </row>
    <row r="369" spans="1:20" ht="17.25" customHeight="1">
      <c r="A369" s="741">
        <f t="shared" si="49"/>
        <v>198</v>
      </c>
      <c r="B369" s="291" t="s">
        <v>986</v>
      </c>
      <c r="C369" s="724">
        <v>42497</v>
      </c>
      <c r="D369" s="725" t="s">
        <v>575</v>
      </c>
      <c r="E369" s="807">
        <v>60.5</v>
      </c>
      <c r="F369" s="759">
        <v>50.5</v>
      </c>
      <c r="G369" s="759">
        <v>45</v>
      </c>
      <c r="H369" s="798">
        <f t="shared" si="51"/>
        <v>2.2400000000000002</v>
      </c>
      <c r="I369" s="257">
        <v>107</v>
      </c>
      <c r="J369" s="709">
        <f t="shared" si="48"/>
        <v>239.68000000000004</v>
      </c>
      <c r="K369" s="709">
        <f t="shared" si="50"/>
        <v>19093.84253413622</v>
      </c>
      <c r="L369" s="626">
        <v>15400</v>
      </c>
      <c r="M369" s="626"/>
      <c r="O369" s="704"/>
      <c r="P369" s="704"/>
      <c r="Q369" s="704"/>
      <c r="S369" s="704">
        <f t="shared" si="52"/>
        <v>1647800</v>
      </c>
      <c r="T369" s="903">
        <f t="shared" si="53"/>
        <v>2043041.1511525756</v>
      </c>
    </row>
    <row r="370" spans="1:20" ht="17.25" customHeight="1">
      <c r="A370" s="741">
        <f t="shared" si="49"/>
        <v>199</v>
      </c>
      <c r="B370" s="291" t="s">
        <v>1039</v>
      </c>
      <c r="C370" s="724">
        <v>42497</v>
      </c>
      <c r="D370" s="725" t="s">
        <v>575</v>
      </c>
      <c r="E370" s="807">
        <v>46</v>
      </c>
      <c r="F370" s="808">
        <v>39</v>
      </c>
      <c r="G370" s="808">
        <v>55</v>
      </c>
      <c r="H370" s="798">
        <f t="shared" si="51"/>
        <v>1.7</v>
      </c>
      <c r="I370" s="257">
        <v>26</v>
      </c>
      <c r="J370" s="709">
        <f t="shared" si="48"/>
        <v>44.199999999999996</v>
      </c>
      <c r="K370" s="709">
        <f t="shared" si="50"/>
        <v>14490.862637514092</v>
      </c>
      <c r="L370" s="626">
        <v>15000</v>
      </c>
      <c r="M370" s="626"/>
      <c r="O370" s="704"/>
      <c r="P370" s="704"/>
      <c r="Q370" s="704"/>
      <c r="S370" s="704">
        <f t="shared" si="52"/>
        <v>390000</v>
      </c>
      <c r="T370" s="903">
        <f t="shared" si="53"/>
        <v>376762.42857536639</v>
      </c>
    </row>
    <row r="371" spans="1:20" ht="17.25" customHeight="1">
      <c r="A371" s="741">
        <f t="shared" si="49"/>
        <v>200</v>
      </c>
      <c r="B371" s="291" t="s">
        <v>1040</v>
      </c>
      <c r="C371" s="724">
        <v>42497</v>
      </c>
      <c r="D371" s="725" t="s">
        <v>575</v>
      </c>
      <c r="E371" s="807">
        <v>60.5</v>
      </c>
      <c r="F371" s="808">
        <v>50.5</v>
      </c>
      <c r="G371" s="808">
        <v>54</v>
      </c>
      <c r="H371" s="798">
        <f t="shared" si="51"/>
        <v>2.44</v>
      </c>
      <c r="I371" s="257">
        <v>52</v>
      </c>
      <c r="J371" s="709">
        <f t="shared" si="48"/>
        <v>126.88</v>
      </c>
      <c r="K371" s="709">
        <f t="shared" si="50"/>
        <v>20798.649903255522</v>
      </c>
      <c r="L371" s="626">
        <v>16700</v>
      </c>
      <c r="M371" s="626"/>
      <c r="O371" s="704"/>
      <c r="P371" s="704"/>
      <c r="Q371" s="704"/>
      <c r="S371" s="704">
        <f t="shared" si="52"/>
        <v>868400</v>
      </c>
      <c r="T371" s="903">
        <f t="shared" si="53"/>
        <v>1081529.7949692872</v>
      </c>
    </row>
    <row r="372" spans="1:20" ht="17.25" customHeight="1">
      <c r="A372" s="741">
        <f t="shared" si="49"/>
        <v>201</v>
      </c>
      <c r="B372" s="291" t="s">
        <v>1041</v>
      </c>
      <c r="C372" s="724">
        <v>42497</v>
      </c>
      <c r="D372" s="725" t="s">
        <v>575</v>
      </c>
      <c r="E372" s="807">
        <v>110.5</v>
      </c>
      <c r="F372" s="808">
        <v>60.5</v>
      </c>
      <c r="G372" s="808">
        <v>176</v>
      </c>
      <c r="H372" s="798">
        <f t="shared" si="51"/>
        <v>8.31</v>
      </c>
      <c r="I372" s="257">
        <v>52</v>
      </c>
      <c r="J372" s="709">
        <f t="shared" si="48"/>
        <v>432.12</v>
      </c>
      <c r="K372" s="709">
        <f t="shared" si="50"/>
        <v>70834.746186907127</v>
      </c>
      <c r="L372" s="626">
        <v>58000</v>
      </c>
      <c r="M372" s="626"/>
      <c r="O372" s="704"/>
      <c r="P372" s="704"/>
      <c r="Q372" s="704"/>
      <c r="S372" s="704">
        <f t="shared" si="52"/>
        <v>3016000</v>
      </c>
      <c r="T372" s="903">
        <f t="shared" si="53"/>
        <v>3683406.8017191705</v>
      </c>
    </row>
    <row r="373" spans="1:20" ht="17.25" customHeight="1">
      <c r="A373" s="741">
        <f t="shared" si="49"/>
        <v>202</v>
      </c>
      <c r="B373" s="291" t="s">
        <v>1042</v>
      </c>
      <c r="C373" s="724">
        <v>42497</v>
      </c>
      <c r="D373" s="725" t="s">
        <v>575</v>
      </c>
      <c r="E373" s="807">
        <v>80.5</v>
      </c>
      <c r="F373" s="808">
        <v>60.5</v>
      </c>
      <c r="G373" s="808">
        <v>176</v>
      </c>
      <c r="H373" s="798">
        <f t="shared" si="51"/>
        <v>6.87</v>
      </c>
      <c r="I373" s="257">
        <v>51</v>
      </c>
      <c r="J373" s="709">
        <f t="shared" si="48"/>
        <v>350.37</v>
      </c>
      <c r="K373" s="709">
        <f t="shared" si="50"/>
        <v>58560.133129248134</v>
      </c>
      <c r="L373" s="626">
        <v>49950</v>
      </c>
      <c r="M373" s="626"/>
      <c r="O373" s="704"/>
      <c r="P373" s="704"/>
      <c r="Q373" s="704"/>
      <c r="S373" s="704">
        <f t="shared" si="52"/>
        <v>2547450</v>
      </c>
      <c r="T373" s="903">
        <f t="shared" si="53"/>
        <v>2986566.7895916547</v>
      </c>
    </row>
    <row r="374" spans="1:20" ht="17.25" customHeight="1">
      <c r="A374" s="741">
        <f t="shared" si="49"/>
        <v>203</v>
      </c>
      <c r="B374" s="291" t="s">
        <v>1043</v>
      </c>
      <c r="C374" s="724">
        <v>42497</v>
      </c>
      <c r="D374" s="725" t="s">
        <v>575</v>
      </c>
      <c r="E374" s="807">
        <v>60.5</v>
      </c>
      <c r="F374" s="808">
        <v>60.5</v>
      </c>
      <c r="G374" s="808">
        <v>99</v>
      </c>
      <c r="H374" s="798">
        <f t="shared" si="51"/>
        <v>4.01</v>
      </c>
      <c r="I374" s="257">
        <v>56</v>
      </c>
      <c r="J374" s="709">
        <f t="shared" si="48"/>
        <v>224.56</v>
      </c>
      <c r="K374" s="709">
        <f t="shared" si="50"/>
        <v>34181.387750842063</v>
      </c>
      <c r="L374" s="626">
        <v>26000</v>
      </c>
      <c r="M374" s="626"/>
      <c r="O374" s="704"/>
      <c r="P374" s="704"/>
      <c r="Q374" s="704"/>
      <c r="S374" s="704">
        <f t="shared" si="52"/>
        <v>1456000</v>
      </c>
      <c r="T374" s="903">
        <f t="shared" si="53"/>
        <v>1914157.7140471556</v>
      </c>
    </row>
    <row r="375" spans="1:20" ht="17.25" customHeight="1">
      <c r="A375" s="741">
        <f t="shared" si="49"/>
        <v>204</v>
      </c>
      <c r="B375" s="291" t="s">
        <v>1044</v>
      </c>
      <c r="C375" s="724">
        <v>42497</v>
      </c>
      <c r="D375" s="725" t="s">
        <v>575</v>
      </c>
      <c r="E375" s="807">
        <v>60.5</v>
      </c>
      <c r="F375" s="808">
        <v>60.5</v>
      </c>
      <c r="G375" s="808">
        <v>135</v>
      </c>
      <c r="H375" s="798">
        <f t="shared" si="51"/>
        <v>4.9000000000000004</v>
      </c>
      <c r="I375" s="257">
        <v>50</v>
      </c>
      <c r="J375" s="709">
        <f t="shared" si="48"/>
        <v>245.00000000000003</v>
      </c>
      <c r="K375" s="709">
        <f t="shared" si="50"/>
        <v>41767.780543422974</v>
      </c>
      <c r="L375" s="626">
        <v>31900</v>
      </c>
      <c r="M375" s="626"/>
      <c r="O375" s="704"/>
      <c r="P375" s="704"/>
      <c r="Q375" s="704"/>
      <c r="S375" s="704">
        <f t="shared" si="52"/>
        <v>1595000</v>
      </c>
      <c r="T375" s="903">
        <f t="shared" si="53"/>
        <v>2088389.0271711487</v>
      </c>
    </row>
    <row r="376" spans="1:20" ht="17.25" customHeight="1">
      <c r="A376" s="741">
        <f t="shared" si="49"/>
        <v>205</v>
      </c>
      <c r="B376" s="291" t="s">
        <v>466</v>
      </c>
      <c r="C376" s="724">
        <v>42499</v>
      </c>
      <c r="D376" s="725" t="s">
        <v>576</v>
      </c>
      <c r="E376" s="807">
        <v>37.5</v>
      </c>
      <c r="F376" s="808">
        <v>25.3</v>
      </c>
      <c r="G376" s="808">
        <v>23.9</v>
      </c>
      <c r="H376" s="798">
        <f t="shared" si="51"/>
        <v>0.68</v>
      </c>
      <c r="I376" s="257">
        <v>281</v>
      </c>
      <c r="J376" s="709">
        <f t="shared" si="48"/>
        <v>191.08</v>
      </c>
      <c r="K376" s="709">
        <f t="shared" si="50"/>
        <v>5796.3450550056377</v>
      </c>
      <c r="L376" s="626">
        <v>7300</v>
      </c>
      <c r="M376" s="626"/>
      <c r="O376" s="704"/>
      <c r="P376" s="704"/>
      <c r="Q376" s="704"/>
      <c r="S376" s="704">
        <f t="shared" si="52"/>
        <v>2051300</v>
      </c>
      <c r="T376" s="903">
        <f t="shared" si="53"/>
        <v>1628772.9604565841</v>
      </c>
    </row>
    <row r="377" spans="1:20" ht="17.25" customHeight="1">
      <c r="A377" s="741">
        <f t="shared" si="49"/>
        <v>206</v>
      </c>
      <c r="B377" s="291" t="s">
        <v>466</v>
      </c>
      <c r="C377" s="724">
        <v>42499</v>
      </c>
      <c r="D377" s="725" t="s">
        <v>576</v>
      </c>
      <c r="E377" s="807">
        <v>37.5</v>
      </c>
      <c r="F377" s="808">
        <v>25.3</v>
      </c>
      <c r="G377" s="808">
        <v>23.9</v>
      </c>
      <c r="H377" s="798">
        <f t="shared" si="51"/>
        <v>0.68</v>
      </c>
      <c r="I377" s="257">
        <v>495</v>
      </c>
      <c r="J377" s="709">
        <f t="shared" si="48"/>
        <v>336.6</v>
      </c>
      <c r="K377" s="709">
        <f t="shared" si="50"/>
        <v>5796.3450550056377</v>
      </c>
      <c r="L377" s="626">
        <v>5900</v>
      </c>
      <c r="M377" s="626"/>
      <c r="O377" s="704"/>
      <c r="P377" s="704"/>
      <c r="Q377" s="704"/>
      <c r="S377" s="704">
        <f t="shared" si="52"/>
        <v>2920500</v>
      </c>
      <c r="T377" s="903">
        <f t="shared" si="53"/>
        <v>2869190.8022277905</v>
      </c>
    </row>
    <row r="378" spans="1:20" ht="17.25" customHeight="1">
      <c r="A378" s="741">
        <f t="shared" si="49"/>
        <v>207</v>
      </c>
      <c r="B378" s="291" t="s">
        <v>504</v>
      </c>
      <c r="C378" s="724">
        <v>42499</v>
      </c>
      <c r="D378" s="725" t="s">
        <v>577</v>
      </c>
      <c r="E378" s="807">
        <v>47</v>
      </c>
      <c r="F378" s="808">
        <v>42</v>
      </c>
      <c r="G378" s="808">
        <v>25</v>
      </c>
      <c r="H378" s="798">
        <f t="shared" si="51"/>
        <v>1.28</v>
      </c>
      <c r="I378" s="257">
        <v>65</v>
      </c>
      <c r="J378" s="709">
        <f t="shared" si="48"/>
        <v>83.2</v>
      </c>
      <c r="K378" s="709">
        <f t="shared" si="50"/>
        <v>10910.767162363552</v>
      </c>
      <c r="L378" s="626">
        <v>9250</v>
      </c>
      <c r="M378" s="626"/>
      <c r="O378" s="704"/>
      <c r="P378" s="704"/>
      <c r="Q378" s="704"/>
      <c r="S378" s="704">
        <f t="shared" si="52"/>
        <v>601250</v>
      </c>
      <c r="T378" s="903">
        <f t="shared" si="53"/>
        <v>709199.86555363087</v>
      </c>
    </row>
    <row r="379" spans="1:20" ht="17.25" customHeight="1">
      <c r="A379" s="741">
        <f t="shared" si="49"/>
        <v>208</v>
      </c>
      <c r="B379" s="291" t="s">
        <v>1045</v>
      </c>
      <c r="C379" s="724">
        <v>42499</v>
      </c>
      <c r="D379" s="725" t="s">
        <v>577</v>
      </c>
      <c r="E379" s="807">
        <v>43</v>
      </c>
      <c r="F379" s="808">
        <v>40</v>
      </c>
      <c r="G379" s="808">
        <v>24</v>
      </c>
      <c r="H379" s="798">
        <f t="shared" si="51"/>
        <v>1.1499999999999999</v>
      </c>
      <c r="I379" s="257">
        <v>105</v>
      </c>
      <c r="J379" s="709">
        <f t="shared" si="48"/>
        <v>120.74999999999999</v>
      </c>
      <c r="K379" s="709">
        <f t="shared" si="50"/>
        <v>9802.6423724360029</v>
      </c>
      <c r="L379" s="626">
        <v>8500</v>
      </c>
      <c r="M379" s="626"/>
      <c r="O379" s="704"/>
      <c r="P379" s="704"/>
      <c r="Q379" s="704"/>
      <c r="S379" s="704">
        <f t="shared" si="52"/>
        <v>892500</v>
      </c>
      <c r="T379" s="903">
        <f t="shared" si="53"/>
        <v>1029277.4491057803</v>
      </c>
    </row>
    <row r="380" spans="1:20" ht="17.25" customHeight="1">
      <c r="A380" s="741">
        <f t="shared" si="49"/>
        <v>209</v>
      </c>
      <c r="B380" s="291" t="s">
        <v>1046</v>
      </c>
      <c r="C380" s="724">
        <v>42499</v>
      </c>
      <c r="D380" s="725" t="s">
        <v>577</v>
      </c>
      <c r="E380" s="807">
        <v>34</v>
      </c>
      <c r="F380" s="808">
        <v>29</v>
      </c>
      <c r="G380" s="808">
        <v>26</v>
      </c>
      <c r="H380" s="798">
        <f t="shared" si="51"/>
        <v>0.76</v>
      </c>
      <c r="I380" s="257">
        <v>130</v>
      </c>
      <c r="J380" s="709">
        <f t="shared" si="48"/>
        <v>98.8</v>
      </c>
      <c r="K380" s="709">
        <f t="shared" si="50"/>
        <v>6478.268002653359</v>
      </c>
      <c r="L380" s="626">
        <v>8950</v>
      </c>
      <c r="M380" s="626"/>
      <c r="O380" s="704"/>
      <c r="P380" s="704"/>
      <c r="Q380" s="704"/>
      <c r="S380" s="704">
        <f t="shared" si="52"/>
        <v>1163500</v>
      </c>
      <c r="T380" s="903">
        <f t="shared" si="53"/>
        <v>842174.8403449367</v>
      </c>
    </row>
    <row r="381" spans="1:20" ht="17.25" customHeight="1">
      <c r="A381" s="741">
        <f t="shared" si="49"/>
        <v>210</v>
      </c>
      <c r="B381" s="291" t="s">
        <v>510</v>
      </c>
      <c r="C381" s="724">
        <v>42499</v>
      </c>
      <c r="D381" s="725" t="s">
        <v>577</v>
      </c>
      <c r="E381" s="807">
        <v>47</v>
      </c>
      <c r="F381" s="808">
        <v>42</v>
      </c>
      <c r="G381" s="808">
        <v>24.5</v>
      </c>
      <c r="H381" s="798">
        <f t="shared" si="51"/>
        <v>1.27</v>
      </c>
      <c r="I381" s="257">
        <v>356</v>
      </c>
      <c r="J381" s="709">
        <f t="shared" si="48"/>
        <v>452.12</v>
      </c>
      <c r="K381" s="709">
        <f t="shared" si="50"/>
        <v>10825.526793907587</v>
      </c>
      <c r="L381" s="626">
        <v>9200</v>
      </c>
      <c r="M381" s="626"/>
      <c r="O381" s="704"/>
      <c r="P381" s="704"/>
      <c r="Q381" s="704"/>
      <c r="S381" s="704">
        <f t="shared" si="52"/>
        <v>3275200</v>
      </c>
      <c r="T381" s="903">
        <f t="shared" si="53"/>
        <v>3853887.5386311011</v>
      </c>
    </row>
    <row r="382" spans="1:20" ht="17.25" customHeight="1">
      <c r="A382" s="741">
        <f t="shared" si="49"/>
        <v>211</v>
      </c>
      <c r="B382" s="291" t="s">
        <v>510</v>
      </c>
      <c r="C382" s="724">
        <v>42500</v>
      </c>
      <c r="D382" s="725" t="s">
        <v>578</v>
      </c>
      <c r="E382" s="807">
        <v>47</v>
      </c>
      <c r="F382" s="808">
        <v>42</v>
      </c>
      <c r="G382" s="808">
        <v>24.5</v>
      </c>
      <c r="H382" s="798">
        <f t="shared" si="51"/>
        <v>1.27</v>
      </c>
      <c r="I382" s="257">
        <v>102</v>
      </c>
      <c r="J382" s="709">
        <f t="shared" si="48"/>
        <v>129.54</v>
      </c>
      <c r="K382" s="709">
        <f t="shared" si="50"/>
        <v>10825.526793907587</v>
      </c>
      <c r="L382" s="626">
        <v>9200</v>
      </c>
      <c r="M382" s="626"/>
      <c r="O382" s="704"/>
      <c r="P382" s="704"/>
      <c r="Q382" s="704"/>
      <c r="S382" s="704">
        <f t="shared" si="52"/>
        <v>938400</v>
      </c>
      <c r="T382" s="903">
        <f t="shared" si="53"/>
        <v>1104203.732978574</v>
      </c>
    </row>
    <row r="383" spans="1:20" ht="17.25" customHeight="1">
      <c r="A383" s="741">
        <f t="shared" si="49"/>
        <v>212</v>
      </c>
      <c r="B383" s="291" t="s">
        <v>1047</v>
      </c>
      <c r="C383" s="724">
        <v>42500</v>
      </c>
      <c r="D383" s="725" t="s">
        <v>578</v>
      </c>
      <c r="E383" s="807">
        <v>44</v>
      </c>
      <c r="F383" s="808">
        <v>32</v>
      </c>
      <c r="G383" s="808">
        <v>46</v>
      </c>
      <c r="H383" s="798">
        <f t="shared" si="51"/>
        <v>1.27</v>
      </c>
      <c r="I383" s="257">
        <v>198</v>
      </c>
      <c r="J383" s="709">
        <f t="shared" si="48"/>
        <v>251.46</v>
      </c>
      <c r="K383" s="709">
        <f t="shared" si="50"/>
        <v>10825.526793907587</v>
      </c>
      <c r="L383" s="626">
        <v>13000</v>
      </c>
      <c r="M383" s="626"/>
      <c r="O383" s="704"/>
      <c r="P383" s="704"/>
      <c r="Q383" s="704"/>
      <c r="S383" s="704">
        <f t="shared" si="52"/>
        <v>2574000</v>
      </c>
      <c r="T383" s="903">
        <f t="shared" si="53"/>
        <v>2143454.3051937022</v>
      </c>
    </row>
    <row r="384" spans="1:20" ht="17.25" customHeight="1">
      <c r="A384" s="741">
        <f t="shared" si="49"/>
        <v>213</v>
      </c>
      <c r="B384" s="291" t="s">
        <v>1046</v>
      </c>
      <c r="C384" s="724">
        <v>42500</v>
      </c>
      <c r="D384" s="725" t="s">
        <v>578</v>
      </c>
      <c r="E384" s="807">
        <v>34</v>
      </c>
      <c r="F384" s="808">
        <v>29</v>
      </c>
      <c r="G384" s="808">
        <v>26</v>
      </c>
      <c r="H384" s="798">
        <f t="shared" si="51"/>
        <v>0.76</v>
      </c>
      <c r="I384" s="257">
        <v>260</v>
      </c>
      <c r="J384" s="709">
        <f t="shared" si="48"/>
        <v>197.6</v>
      </c>
      <c r="K384" s="709">
        <f t="shared" si="50"/>
        <v>6478.268002653359</v>
      </c>
      <c r="L384" s="626">
        <v>8950</v>
      </c>
      <c r="M384" s="626"/>
      <c r="O384" s="704"/>
      <c r="P384" s="704"/>
      <c r="Q384" s="704"/>
      <c r="S384" s="704">
        <f t="shared" si="52"/>
        <v>2327000</v>
      </c>
      <c r="T384" s="903">
        <f t="shared" si="53"/>
        <v>1684349.6806898734</v>
      </c>
    </row>
    <row r="385" spans="1:20" ht="17.25" customHeight="1">
      <c r="A385" s="741">
        <f t="shared" si="49"/>
        <v>214</v>
      </c>
      <c r="B385" s="291" t="s">
        <v>1233</v>
      </c>
      <c r="C385" s="724">
        <v>42500</v>
      </c>
      <c r="D385" s="725" t="s">
        <v>578</v>
      </c>
      <c r="E385" s="807">
        <v>32</v>
      </c>
      <c r="F385" s="759">
        <v>12</v>
      </c>
      <c r="G385" s="759"/>
      <c r="H385" s="798">
        <f t="shared" si="51"/>
        <v>0.04</v>
      </c>
      <c r="I385" s="257">
        <v>400</v>
      </c>
      <c r="J385" s="709">
        <f t="shared" si="48"/>
        <v>16</v>
      </c>
      <c r="K385" s="709">
        <f t="shared" si="50"/>
        <v>340.96147382386101</v>
      </c>
      <c r="L385" s="715">
        <v>1300</v>
      </c>
      <c r="M385" s="626"/>
      <c r="O385" s="704"/>
      <c r="P385" s="704"/>
      <c r="Q385" s="704"/>
      <c r="S385" s="704">
        <f t="shared" si="52"/>
        <v>520000</v>
      </c>
      <c r="T385" s="903">
        <f t="shared" si="53"/>
        <v>136384.58952954441</v>
      </c>
    </row>
    <row r="386" spans="1:20" ht="17.25" customHeight="1">
      <c r="A386" s="741">
        <f t="shared" si="49"/>
        <v>215</v>
      </c>
      <c r="B386" s="291" t="s">
        <v>1234</v>
      </c>
      <c r="C386" s="724">
        <v>42500</v>
      </c>
      <c r="D386" s="725" t="s">
        <v>578</v>
      </c>
      <c r="E386" s="807">
        <v>29</v>
      </c>
      <c r="F386" s="808">
        <v>10</v>
      </c>
      <c r="G386" s="808"/>
      <c r="H386" s="798">
        <f t="shared" si="51"/>
        <v>0.03</v>
      </c>
      <c r="I386" s="257">
        <v>780</v>
      </c>
      <c r="J386" s="709">
        <f t="shared" si="48"/>
        <v>23.4</v>
      </c>
      <c r="K386" s="709">
        <f t="shared" si="50"/>
        <v>255.72110536789575</v>
      </c>
      <c r="L386" s="626">
        <v>1200</v>
      </c>
      <c r="M386" s="626"/>
      <c r="O386" s="704"/>
      <c r="P386" s="704"/>
      <c r="Q386" s="704"/>
      <c r="S386" s="704">
        <f t="shared" si="52"/>
        <v>936000</v>
      </c>
      <c r="T386" s="903">
        <f t="shared" si="53"/>
        <v>199462.46218695867</v>
      </c>
    </row>
    <row r="387" spans="1:20" ht="17.25" customHeight="1">
      <c r="A387" s="741">
        <f t="shared" si="49"/>
        <v>216</v>
      </c>
      <c r="B387" s="291" t="s">
        <v>1048</v>
      </c>
      <c r="C387" s="724">
        <v>42500</v>
      </c>
      <c r="D387" s="725" t="s">
        <v>580</v>
      </c>
      <c r="E387" s="807">
        <v>80.5</v>
      </c>
      <c r="F387" s="808">
        <v>60.5</v>
      </c>
      <c r="G387" s="808">
        <v>135</v>
      </c>
      <c r="H387" s="798">
        <f t="shared" si="51"/>
        <v>5.7</v>
      </c>
      <c r="I387" s="257">
        <v>48</v>
      </c>
      <c r="J387" s="709">
        <f t="shared" si="48"/>
        <v>273.60000000000002</v>
      </c>
      <c r="K387" s="709">
        <f t="shared" si="50"/>
        <v>48587.010019900197</v>
      </c>
      <c r="L387" s="626">
        <v>38150</v>
      </c>
      <c r="M387" s="626"/>
      <c r="O387" s="704"/>
      <c r="P387" s="704"/>
      <c r="Q387" s="704"/>
      <c r="S387" s="704">
        <f t="shared" si="52"/>
        <v>1831200</v>
      </c>
      <c r="T387" s="903">
        <f t="shared" si="53"/>
        <v>2332176.4809552096</v>
      </c>
    </row>
    <row r="388" spans="1:20" ht="17.25" customHeight="1">
      <c r="A388" s="741">
        <f t="shared" si="49"/>
        <v>217</v>
      </c>
      <c r="B388" s="291" t="s">
        <v>1025</v>
      </c>
      <c r="C388" s="724">
        <v>42500</v>
      </c>
      <c r="D388" s="725" t="s">
        <v>580</v>
      </c>
      <c r="E388" s="807">
        <v>60.5</v>
      </c>
      <c r="F388" s="759">
        <v>36.5</v>
      </c>
      <c r="G388" s="759">
        <v>45</v>
      </c>
      <c r="H388" s="798">
        <f t="shared" si="51"/>
        <v>1.68</v>
      </c>
      <c r="I388" s="257">
        <v>500</v>
      </c>
      <c r="J388" s="709">
        <f t="shared" si="48"/>
        <v>840</v>
      </c>
      <c r="K388" s="709">
        <f t="shared" si="50"/>
        <v>14320.381900602162</v>
      </c>
      <c r="L388" s="715">
        <v>12700</v>
      </c>
      <c r="M388" s="626"/>
      <c r="O388" s="704"/>
      <c r="P388" s="704"/>
      <c r="Q388" s="704"/>
      <c r="S388" s="704">
        <f t="shared" si="52"/>
        <v>6350000</v>
      </c>
      <c r="T388" s="903">
        <f t="shared" si="53"/>
        <v>7160190.9503010809</v>
      </c>
    </row>
    <row r="389" spans="1:20" ht="17.25" customHeight="1">
      <c r="A389" s="741">
        <f t="shared" si="49"/>
        <v>218</v>
      </c>
      <c r="B389" s="291" t="s">
        <v>1049</v>
      </c>
      <c r="C389" s="724">
        <v>42500</v>
      </c>
      <c r="D389" s="725" t="s">
        <v>580</v>
      </c>
      <c r="E389" s="807">
        <v>60.5</v>
      </c>
      <c r="F389" s="759">
        <v>36.5</v>
      </c>
      <c r="G389" s="759">
        <v>205</v>
      </c>
      <c r="H389" s="798">
        <f t="shared" si="51"/>
        <v>4.87</v>
      </c>
      <c r="I389" s="257">
        <v>50</v>
      </c>
      <c r="J389" s="709">
        <f t="shared" si="48"/>
        <v>243.5</v>
      </c>
      <c r="K389" s="709">
        <f t="shared" si="50"/>
        <v>41512.059438055083</v>
      </c>
      <c r="L389" s="715">
        <v>43400</v>
      </c>
      <c r="M389" s="626"/>
      <c r="O389" s="704"/>
      <c r="P389" s="704"/>
      <c r="Q389" s="704"/>
      <c r="S389" s="704">
        <f t="shared" si="52"/>
        <v>2170000</v>
      </c>
      <c r="T389" s="903">
        <f t="shared" si="53"/>
        <v>2075602.9719027542</v>
      </c>
    </row>
    <row r="390" spans="1:20" ht="17.25" customHeight="1">
      <c r="A390" s="741">
        <f t="shared" si="49"/>
        <v>219</v>
      </c>
      <c r="B390" s="291" t="s">
        <v>1050</v>
      </c>
      <c r="C390" s="724">
        <v>42500</v>
      </c>
      <c r="D390" s="725" t="s">
        <v>580</v>
      </c>
      <c r="E390" s="807">
        <v>80.5</v>
      </c>
      <c r="F390" s="759">
        <v>60.5</v>
      </c>
      <c r="G390" s="759">
        <v>205</v>
      </c>
      <c r="H390" s="798">
        <f t="shared" si="51"/>
        <v>7.71</v>
      </c>
      <c r="I390" s="257">
        <v>23</v>
      </c>
      <c r="J390" s="709">
        <f t="shared" si="48"/>
        <v>177.33</v>
      </c>
      <c r="K390" s="709">
        <f t="shared" si="50"/>
        <v>65720.324079549217</v>
      </c>
      <c r="L390" s="715">
        <v>51500</v>
      </c>
      <c r="M390" s="626"/>
      <c r="O390" s="704"/>
      <c r="P390" s="704"/>
      <c r="Q390" s="704"/>
      <c r="S390" s="704">
        <f t="shared" si="52"/>
        <v>1184500</v>
      </c>
      <c r="T390" s="903">
        <f t="shared" si="53"/>
        <v>1511567.4538296319</v>
      </c>
    </row>
    <row r="391" spans="1:20" ht="17.25" customHeight="1">
      <c r="A391" s="741">
        <f t="shared" si="49"/>
        <v>220</v>
      </c>
      <c r="B391" s="291" t="s">
        <v>1051</v>
      </c>
      <c r="C391" s="724">
        <v>42500</v>
      </c>
      <c r="D391" s="725" t="s">
        <v>580</v>
      </c>
      <c r="E391" s="807">
        <v>60.5</v>
      </c>
      <c r="F391" s="759">
        <v>60.5</v>
      </c>
      <c r="G391" s="808">
        <v>205</v>
      </c>
      <c r="H391" s="798">
        <f t="shared" si="51"/>
        <v>6.63</v>
      </c>
      <c r="I391" s="257">
        <v>5</v>
      </c>
      <c r="J391" s="709">
        <f t="shared" si="48"/>
        <v>33.15</v>
      </c>
      <c r="K391" s="709">
        <f t="shared" si="50"/>
        <v>56514.364286304961</v>
      </c>
      <c r="L391" s="626">
        <v>43400</v>
      </c>
      <c r="M391" s="626"/>
      <c r="O391" s="704"/>
      <c r="P391" s="704"/>
      <c r="Q391" s="704"/>
      <c r="S391" s="704">
        <f t="shared" si="52"/>
        <v>217000</v>
      </c>
      <c r="T391" s="903">
        <f t="shared" si="53"/>
        <v>282571.82143152482</v>
      </c>
    </row>
    <row r="392" spans="1:20" ht="17.25" customHeight="1">
      <c r="A392" s="741">
        <f t="shared" si="49"/>
        <v>221</v>
      </c>
      <c r="B392" s="291" t="s">
        <v>1052</v>
      </c>
      <c r="C392" s="724">
        <v>42500</v>
      </c>
      <c r="D392" s="725" t="s">
        <v>580</v>
      </c>
      <c r="E392" s="807">
        <v>60.5</v>
      </c>
      <c r="F392" s="759">
        <v>60.5</v>
      </c>
      <c r="G392" s="808">
        <v>176</v>
      </c>
      <c r="H392" s="798">
        <f t="shared" si="51"/>
        <v>5.92</v>
      </c>
      <c r="I392" s="257">
        <v>50</v>
      </c>
      <c r="J392" s="709">
        <f t="shared" si="48"/>
        <v>296</v>
      </c>
      <c r="K392" s="709">
        <f t="shared" si="50"/>
        <v>50462.298125931433</v>
      </c>
      <c r="L392" s="626">
        <v>38600</v>
      </c>
      <c r="M392" s="626"/>
      <c r="O392" s="704"/>
      <c r="P392" s="704"/>
      <c r="Q392" s="704"/>
      <c r="S392" s="704">
        <f t="shared" si="52"/>
        <v>1930000</v>
      </c>
      <c r="T392" s="903">
        <f t="shared" si="53"/>
        <v>2523114.9062965717</v>
      </c>
    </row>
    <row r="393" spans="1:20" ht="17.25" customHeight="1">
      <c r="A393" s="741">
        <f t="shared" si="49"/>
        <v>222</v>
      </c>
      <c r="B393" s="291" t="s">
        <v>1053</v>
      </c>
      <c r="C393" s="724">
        <v>42500</v>
      </c>
      <c r="D393" s="725" t="s">
        <v>580</v>
      </c>
      <c r="E393" s="807">
        <v>110.5</v>
      </c>
      <c r="F393" s="808">
        <v>60.5</v>
      </c>
      <c r="G393" s="808">
        <v>205</v>
      </c>
      <c r="H393" s="798">
        <f t="shared" si="51"/>
        <v>9.32</v>
      </c>
      <c r="I393" s="257">
        <v>50</v>
      </c>
      <c r="J393" s="709">
        <f t="shared" si="48"/>
        <v>466</v>
      </c>
      <c r="K393" s="709">
        <f t="shared" si="50"/>
        <v>79444.023400959617</v>
      </c>
      <c r="L393" s="626">
        <v>64650</v>
      </c>
      <c r="M393" s="626"/>
      <c r="O393" s="704"/>
      <c r="P393" s="704"/>
      <c r="Q393" s="704"/>
      <c r="S393" s="704">
        <f t="shared" si="52"/>
        <v>3232500</v>
      </c>
      <c r="T393" s="903">
        <f t="shared" si="53"/>
        <v>3972201.1700479807</v>
      </c>
    </row>
    <row r="394" spans="1:20" ht="17.25" customHeight="1">
      <c r="A394" s="741">
        <f t="shared" si="49"/>
        <v>223</v>
      </c>
      <c r="B394" s="291" t="s">
        <v>1054</v>
      </c>
      <c r="C394" s="724">
        <v>42500</v>
      </c>
      <c r="D394" s="725" t="s">
        <v>580</v>
      </c>
      <c r="E394" s="807">
        <v>110.5</v>
      </c>
      <c r="F394" s="808">
        <v>60.5</v>
      </c>
      <c r="G394" s="808">
        <v>135</v>
      </c>
      <c r="H394" s="798">
        <f t="shared" si="51"/>
        <v>6.89</v>
      </c>
      <c r="I394" s="257">
        <v>49</v>
      </c>
      <c r="J394" s="709">
        <f t="shared" si="48"/>
        <v>337.60999999999996</v>
      </c>
      <c r="K394" s="709">
        <f t="shared" si="50"/>
        <v>58730.613866160056</v>
      </c>
      <c r="L394" s="626">
        <v>48600</v>
      </c>
      <c r="M394" s="626"/>
      <c r="O394" s="704"/>
      <c r="P394" s="704"/>
      <c r="Q394" s="704"/>
      <c r="S394" s="704">
        <f t="shared" si="52"/>
        <v>2381400</v>
      </c>
      <c r="T394" s="903">
        <f t="shared" si="53"/>
        <v>2877800.0794418426</v>
      </c>
    </row>
    <row r="395" spans="1:20" ht="17.25" customHeight="1">
      <c r="A395" s="741">
        <f t="shared" si="49"/>
        <v>224</v>
      </c>
      <c r="B395" s="291" t="s">
        <v>675</v>
      </c>
      <c r="C395" s="724">
        <v>42502</v>
      </c>
      <c r="D395" s="725" t="s">
        <v>582</v>
      </c>
      <c r="E395" s="807">
        <v>45</v>
      </c>
      <c r="F395" s="808">
        <v>37</v>
      </c>
      <c r="G395" s="808">
        <v>27.5</v>
      </c>
      <c r="H395" s="798">
        <f t="shared" si="51"/>
        <v>1.1399999999999999</v>
      </c>
      <c r="I395" s="257">
        <v>50</v>
      </c>
      <c r="J395" s="709">
        <f t="shared" si="48"/>
        <v>56.999999999999993</v>
      </c>
      <c r="K395" s="709">
        <f t="shared" si="50"/>
        <v>9717.402003980038</v>
      </c>
      <c r="L395" s="626">
        <v>13400</v>
      </c>
      <c r="M395" s="626"/>
      <c r="O395" s="704"/>
      <c r="P395" s="704"/>
      <c r="Q395" s="704"/>
      <c r="S395" s="704">
        <f t="shared" si="52"/>
        <v>670000</v>
      </c>
      <c r="T395" s="903">
        <f t="shared" si="53"/>
        <v>485870.1001990019</v>
      </c>
    </row>
    <row r="396" spans="1:20" ht="17.25" customHeight="1">
      <c r="A396" s="741">
        <f t="shared" si="49"/>
        <v>225</v>
      </c>
      <c r="B396" s="291" t="s">
        <v>675</v>
      </c>
      <c r="C396" s="724">
        <v>42502</v>
      </c>
      <c r="D396" s="725" t="s">
        <v>582</v>
      </c>
      <c r="E396" s="807">
        <v>45</v>
      </c>
      <c r="F396" s="808">
        <v>37</v>
      </c>
      <c r="G396" s="808">
        <v>27.5</v>
      </c>
      <c r="H396" s="798">
        <f t="shared" si="51"/>
        <v>1.1399999999999999</v>
      </c>
      <c r="I396" s="257">
        <v>1019</v>
      </c>
      <c r="J396" s="709">
        <f t="shared" si="48"/>
        <v>1161.6599999999999</v>
      </c>
      <c r="K396" s="709">
        <f t="shared" si="50"/>
        <v>9717.402003980038</v>
      </c>
      <c r="L396" s="626">
        <v>13800</v>
      </c>
      <c r="M396" s="626"/>
      <c r="O396" s="704"/>
      <c r="P396" s="704"/>
      <c r="Q396" s="704"/>
      <c r="S396" s="704">
        <f t="shared" si="52"/>
        <v>14062200</v>
      </c>
      <c r="T396" s="903">
        <f t="shared" si="53"/>
        <v>9902032.6420556586</v>
      </c>
    </row>
    <row r="397" spans="1:20" ht="17.25" customHeight="1">
      <c r="A397" s="741">
        <f t="shared" si="49"/>
        <v>226</v>
      </c>
      <c r="B397" s="291" t="s">
        <v>723</v>
      </c>
      <c r="C397" s="724">
        <v>42502</v>
      </c>
      <c r="D397" s="725" t="s">
        <v>582</v>
      </c>
      <c r="E397" s="807">
        <v>44</v>
      </c>
      <c r="F397" s="808">
        <v>20</v>
      </c>
      <c r="G397" s="808"/>
      <c r="H397" s="798">
        <f t="shared" si="51"/>
        <v>0.09</v>
      </c>
      <c r="I397" s="257">
        <v>2138</v>
      </c>
      <c r="J397" s="709">
        <f t="shared" si="48"/>
        <v>192.42</v>
      </c>
      <c r="K397" s="709">
        <f t="shared" si="50"/>
        <v>767.16331610368729</v>
      </c>
      <c r="L397" s="626">
        <v>1300</v>
      </c>
      <c r="M397" s="626"/>
      <c r="O397" s="704"/>
      <c r="P397" s="704"/>
      <c r="Q397" s="704"/>
      <c r="S397" s="704">
        <f t="shared" si="52"/>
        <v>2779400</v>
      </c>
      <c r="T397" s="903">
        <f t="shared" si="53"/>
        <v>1640195.1698296834</v>
      </c>
    </row>
    <row r="398" spans="1:20" ht="17.25" customHeight="1">
      <c r="A398" s="741">
        <f t="shared" si="49"/>
        <v>227</v>
      </c>
      <c r="B398" s="291" t="s">
        <v>419</v>
      </c>
      <c r="C398" s="724">
        <v>42502</v>
      </c>
      <c r="D398" s="725" t="s">
        <v>583</v>
      </c>
      <c r="E398" s="807">
        <v>52</v>
      </c>
      <c r="F398" s="808">
        <v>24.5</v>
      </c>
      <c r="G398" s="808">
        <v>24.5</v>
      </c>
      <c r="H398" s="798">
        <f t="shared" si="51"/>
        <v>0.82</v>
      </c>
      <c r="I398" s="257">
        <v>1236</v>
      </c>
      <c r="J398" s="709">
        <f t="shared" si="48"/>
        <v>1013.52</v>
      </c>
      <c r="K398" s="709">
        <f t="shared" si="50"/>
        <v>6989.7102133891503</v>
      </c>
      <c r="L398" s="626">
        <v>5000</v>
      </c>
      <c r="M398" s="626"/>
      <c r="O398" s="704"/>
      <c r="P398" s="704"/>
      <c r="Q398" s="704"/>
      <c r="S398" s="704">
        <f t="shared" si="52"/>
        <v>6180000</v>
      </c>
      <c r="T398" s="903">
        <f t="shared" si="53"/>
        <v>8639281.823748989</v>
      </c>
    </row>
    <row r="399" spans="1:20" ht="17.25" customHeight="1">
      <c r="A399" s="741">
        <f t="shared" si="49"/>
        <v>228</v>
      </c>
      <c r="B399" s="291" t="s">
        <v>444</v>
      </c>
      <c r="C399" s="724">
        <v>42502</v>
      </c>
      <c r="D399" s="725" t="s">
        <v>583</v>
      </c>
      <c r="E399" s="807">
        <v>52</v>
      </c>
      <c r="F399" s="808">
        <v>26.5</v>
      </c>
      <c r="G399" s="808">
        <v>26.5</v>
      </c>
      <c r="H399" s="798">
        <f t="shared" si="51"/>
        <v>0.91</v>
      </c>
      <c r="I399" s="257">
        <v>300</v>
      </c>
      <c r="J399" s="709">
        <f t="shared" si="48"/>
        <v>273</v>
      </c>
      <c r="K399" s="709">
        <f t="shared" si="50"/>
        <v>7756.8735294928383</v>
      </c>
      <c r="L399" s="626">
        <v>5550</v>
      </c>
      <c r="M399" s="626"/>
      <c r="O399" s="704"/>
      <c r="P399" s="704"/>
      <c r="Q399" s="704"/>
      <c r="S399" s="704">
        <f t="shared" si="52"/>
        <v>1665000</v>
      </c>
      <c r="T399" s="903">
        <f t="shared" si="53"/>
        <v>2327062.0588478516</v>
      </c>
    </row>
    <row r="400" spans="1:20" ht="17.25" customHeight="1">
      <c r="A400" s="741">
        <f t="shared" si="49"/>
        <v>229</v>
      </c>
      <c r="B400" s="291" t="s">
        <v>484</v>
      </c>
      <c r="C400" s="724">
        <v>42502</v>
      </c>
      <c r="D400" s="725" t="s">
        <v>583</v>
      </c>
      <c r="E400" s="807">
        <v>61</v>
      </c>
      <c r="F400" s="808">
        <v>51</v>
      </c>
      <c r="G400" s="808">
        <v>30</v>
      </c>
      <c r="H400" s="798">
        <f t="shared" si="51"/>
        <v>1.92</v>
      </c>
      <c r="I400" s="257">
        <v>310</v>
      </c>
      <c r="J400" s="709">
        <f t="shared" si="48"/>
        <v>595.19999999999993</v>
      </c>
      <c r="K400" s="709">
        <f t="shared" si="50"/>
        <v>16366.150743545328</v>
      </c>
      <c r="L400" s="626">
        <v>10670</v>
      </c>
      <c r="M400" s="626"/>
      <c r="O400" s="704"/>
      <c r="P400" s="704"/>
      <c r="Q400" s="704"/>
      <c r="S400" s="704">
        <f t="shared" si="52"/>
        <v>3307700</v>
      </c>
      <c r="T400" s="903">
        <f t="shared" si="53"/>
        <v>5073506.7304990515</v>
      </c>
    </row>
    <row r="401" spans="1:20" ht="17.25" customHeight="1">
      <c r="A401" s="741">
        <f t="shared" si="49"/>
        <v>230</v>
      </c>
      <c r="B401" s="291" t="s">
        <v>668</v>
      </c>
      <c r="C401" s="724">
        <v>42503</v>
      </c>
      <c r="D401" s="725" t="s">
        <v>584</v>
      </c>
      <c r="E401" s="807">
        <v>52</v>
      </c>
      <c r="F401" s="808">
        <v>24</v>
      </c>
      <c r="G401" s="808">
        <v>24</v>
      </c>
      <c r="H401" s="798">
        <f t="shared" si="51"/>
        <v>0.8</v>
      </c>
      <c r="I401" s="257">
        <v>307</v>
      </c>
      <c r="J401" s="709">
        <f t="shared" si="48"/>
        <v>245.60000000000002</v>
      </c>
      <c r="K401" s="709">
        <f t="shared" si="50"/>
        <v>6819.2294764772205</v>
      </c>
      <c r="L401" s="626">
        <v>6000</v>
      </c>
      <c r="M401" s="626"/>
      <c r="O401" s="704"/>
      <c r="P401" s="704"/>
      <c r="Q401" s="704"/>
      <c r="S401" s="704">
        <f t="shared" si="52"/>
        <v>1842000</v>
      </c>
      <c r="T401" s="903">
        <f t="shared" si="53"/>
        <v>2093503.4492785067</v>
      </c>
    </row>
    <row r="402" spans="1:20" ht="17.25" customHeight="1">
      <c r="A402" s="741">
        <f t="shared" si="49"/>
        <v>231</v>
      </c>
      <c r="B402" s="291" t="s">
        <v>669</v>
      </c>
      <c r="C402" s="724">
        <v>42503</v>
      </c>
      <c r="D402" s="725" t="s">
        <v>584</v>
      </c>
      <c r="E402" s="807">
        <v>52</v>
      </c>
      <c r="F402" s="808">
        <v>27</v>
      </c>
      <c r="G402" s="808">
        <v>27</v>
      </c>
      <c r="H402" s="798">
        <f t="shared" si="51"/>
        <v>0.93</v>
      </c>
      <c r="I402" s="257">
        <v>302</v>
      </c>
      <c r="J402" s="709">
        <f t="shared" si="48"/>
        <v>280.86</v>
      </c>
      <c r="K402" s="709">
        <f t="shared" si="50"/>
        <v>7927.3542664047691</v>
      </c>
      <c r="L402" s="626">
        <v>6600</v>
      </c>
      <c r="M402" s="626"/>
      <c r="O402" s="704"/>
      <c r="P402" s="704"/>
      <c r="Q402" s="704"/>
      <c r="S402" s="704">
        <f t="shared" si="52"/>
        <v>1993200</v>
      </c>
      <c r="T402" s="903">
        <f t="shared" si="53"/>
        <v>2394060.9884542404</v>
      </c>
    </row>
    <row r="403" spans="1:20" ht="17.25" customHeight="1">
      <c r="A403" s="741">
        <f t="shared" si="49"/>
        <v>232</v>
      </c>
      <c r="B403" s="291" t="s">
        <v>670</v>
      </c>
      <c r="C403" s="724">
        <v>42503</v>
      </c>
      <c r="D403" s="725" t="s">
        <v>584</v>
      </c>
      <c r="E403" s="807">
        <v>57</v>
      </c>
      <c r="F403" s="808">
        <v>46</v>
      </c>
      <c r="G403" s="808">
        <v>30</v>
      </c>
      <c r="H403" s="798">
        <f t="shared" si="51"/>
        <v>1.67</v>
      </c>
      <c r="I403" s="257">
        <v>396</v>
      </c>
      <c r="J403" s="709">
        <f t="shared" si="48"/>
        <v>661.31999999999994</v>
      </c>
      <c r="K403" s="709">
        <f t="shared" si="50"/>
        <v>14235.141532146197</v>
      </c>
      <c r="L403" s="626">
        <v>11700</v>
      </c>
      <c r="M403" s="626"/>
      <c r="O403" s="704"/>
      <c r="P403" s="704"/>
      <c r="Q403" s="704"/>
      <c r="S403" s="704">
        <f t="shared" si="52"/>
        <v>4633200</v>
      </c>
      <c r="T403" s="903">
        <f t="shared" si="53"/>
        <v>5637116.0467298944</v>
      </c>
    </row>
    <row r="404" spans="1:20" ht="17.25" customHeight="1">
      <c r="A404" s="741">
        <f t="shared" si="49"/>
        <v>233</v>
      </c>
      <c r="B404" s="291" t="s">
        <v>1055</v>
      </c>
      <c r="C404" s="724">
        <v>42503</v>
      </c>
      <c r="D404" s="725" t="s">
        <v>585</v>
      </c>
      <c r="E404" s="807">
        <v>41</v>
      </c>
      <c r="F404" s="808">
        <v>41</v>
      </c>
      <c r="G404" s="808">
        <v>10.5</v>
      </c>
      <c r="H404" s="798">
        <f t="shared" si="51"/>
        <v>0.92</v>
      </c>
      <c r="I404" s="257">
        <v>592</v>
      </c>
      <c r="J404" s="709">
        <f t="shared" si="48"/>
        <v>544.64</v>
      </c>
      <c r="K404" s="709">
        <f t="shared" si="50"/>
        <v>7842.1138979488032</v>
      </c>
      <c r="L404" s="626">
        <v>7000</v>
      </c>
      <c r="M404" s="626"/>
      <c r="O404" s="704"/>
      <c r="P404" s="704"/>
      <c r="Q404" s="704"/>
      <c r="S404" s="704">
        <f t="shared" si="52"/>
        <v>4144000</v>
      </c>
      <c r="T404" s="903">
        <f t="shared" si="53"/>
        <v>4642531.4275856912</v>
      </c>
    </row>
    <row r="405" spans="1:20" ht="17.25" customHeight="1">
      <c r="A405" s="741">
        <f t="shared" si="49"/>
        <v>234</v>
      </c>
      <c r="B405" s="291" t="s">
        <v>510</v>
      </c>
      <c r="C405" s="724">
        <v>42507</v>
      </c>
      <c r="D405" s="725" t="s">
        <v>589</v>
      </c>
      <c r="E405" s="807">
        <v>47</v>
      </c>
      <c r="F405" s="808">
        <v>42</v>
      </c>
      <c r="G405" s="808">
        <v>24.5</v>
      </c>
      <c r="H405" s="798">
        <f t="shared" si="51"/>
        <v>1.27</v>
      </c>
      <c r="I405" s="257">
        <v>360</v>
      </c>
      <c r="J405" s="709">
        <f t="shared" ref="J405:J468" si="54">H405*I405</f>
        <v>457.2</v>
      </c>
      <c r="K405" s="709">
        <f t="shared" si="50"/>
        <v>10825.526793907587</v>
      </c>
      <c r="L405" s="626">
        <v>9200</v>
      </c>
      <c r="M405" s="626"/>
      <c r="O405" s="704"/>
      <c r="P405" s="704"/>
      <c r="Q405" s="704"/>
      <c r="S405" s="704">
        <f t="shared" si="52"/>
        <v>3312000</v>
      </c>
      <c r="T405" s="903">
        <f t="shared" si="53"/>
        <v>3897189.6458067317</v>
      </c>
    </row>
    <row r="406" spans="1:20" ht="17.25" customHeight="1">
      <c r="A406" s="741">
        <f t="shared" si="49"/>
        <v>235</v>
      </c>
      <c r="B406" s="291" t="s">
        <v>692</v>
      </c>
      <c r="C406" s="724">
        <v>42507</v>
      </c>
      <c r="D406" s="725" t="s">
        <v>589</v>
      </c>
      <c r="E406" s="807">
        <v>52</v>
      </c>
      <c r="F406" s="808">
        <v>29</v>
      </c>
      <c r="G406" s="808">
        <v>11.8</v>
      </c>
      <c r="H406" s="798">
        <f t="shared" si="51"/>
        <v>0.73</v>
      </c>
      <c r="I406" s="257">
        <v>1000</v>
      </c>
      <c r="J406" s="709">
        <f t="shared" si="54"/>
        <v>730</v>
      </c>
      <c r="K406" s="709">
        <f t="shared" si="50"/>
        <v>6222.5468972854633</v>
      </c>
      <c r="L406" s="626">
        <v>8600</v>
      </c>
      <c r="M406" s="626"/>
      <c r="O406" s="704"/>
      <c r="P406" s="704"/>
      <c r="Q406" s="704"/>
      <c r="S406" s="704">
        <f t="shared" si="52"/>
        <v>8600000</v>
      </c>
      <c r="T406" s="903">
        <f t="shared" si="53"/>
        <v>6222546.8972854633</v>
      </c>
    </row>
    <row r="407" spans="1:20" ht="17.25" customHeight="1">
      <c r="A407" s="741">
        <f t="shared" si="49"/>
        <v>236</v>
      </c>
      <c r="B407" s="291" t="s">
        <v>1079</v>
      </c>
      <c r="C407" s="724">
        <v>42507</v>
      </c>
      <c r="D407" s="725" t="s">
        <v>589</v>
      </c>
      <c r="E407" s="807">
        <v>43</v>
      </c>
      <c r="F407" s="808">
        <v>39</v>
      </c>
      <c r="G407" s="808">
        <v>27</v>
      </c>
      <c r="H407" s="798">
        <f t="shared" si="51"/>
        <v>1.17</v>
      </c>
      <c r="I407" s="257">
        <v>55</v>
      </c>
      <c r="J407" s="709">
        <f t="shared" si="54"/>
        <v>64.349999999999994</v>
      </c>
      <c r="K407" s="709">
        <f t="shared" si="50"/>
        <v>9973.1231093479346</v>
      </c>
      <c r="L407" s="626">
        <v>12000</v>
      </c>
      <c r="M407" s="626"/>
      <c r="O407" s="704"/>
      <c r="P407" s="704"/>
      <c r="Q407" s="704"/>
      <c r="S407" s="704">
        <f t="shared" si="52"/>
        <v>660000</v>
      </c>
      <c r="T407" s="903">
        <f t="shared" si="53"/>
        <v>548521.77101413638</v>
      </c>
    </row>
    <row r="408" spans="1:20" ht="17.25" customHeight="1">
      <c r="A408" s="741">
        <f t="shared" si="49"/>
        <v>237</v>
      </c>
      <c r="B408" s="291" t="s">
        <v>947</v>
      </c>
      <c r="C408" s="724">
        <v>42507</v>
      </c>
      <c r="D408" s="725" t="s">
        <v>589</v>
      </c>
      <c r="E408" s="807">
        <v>48</v>
      </c>
      <c r="F408" s="808">
        <v>41</v>
      </c>
      <c r="G408" s="808">
        <v>28</v>
      </c>
      <c r="H408" s="798">
        <f t="shared" si="51"/>
        <v>1.32</v>
      </c>
      <c r="I408" s="257">
        <v>110</v>
      </c>
      <c r="J408" s="709">
        <f t="shared" si="54"/>
        <v>145.20000000000002</v>
      </c>
      <c r="K408" s="709">
        <f t="shared" si="50"/>
        <v>11251.728636187414</v>
      </c>
      <c r="L408" s="626">
        <v>9600</v>
      </c>
      <c r="M408" s="626"/>
      <c r="O408" s="704"/>
      <c r="P408" s="704"/>
      <c r="Q408" s="704"/>
      <c r="S408" s="704">
        <f t="shared" si="52"/>
        <v>1056000</v>
      </c>
      <c r="T408" s="903">
        <f t="shared" si="53"/>
        <v>1237690.1499806156</v>
      </c>
    </row>
    <row r="409" spans="1:20" ht="17.25" customHeight="1">
      <c r="A409" s="741">
        <f t="shared" ref="A409:A472" si="55">IF(B409&lt;&gt;"",ROW()-171,"")</f>
        <v>238</v>
      </c>
      <c r="B409" s="291" t="s">
        <v>510</v>
      </c>
      <c r="C409" s="724">
        <v>42507</v>
      </c>
      <c r="D409" s="725" t="s">
        <v>590</v>
      </c>
      <c r="E409" s="807">
        <v>47</v>
      </c>
      <c r="F409" s="808">
        <v>42</v>
      </c>
      <c r="G409" s="808">
        <v>24.5</v>
      </c>
      <c r="H409" s="798">
        <f t="shared" si="51"/>
        <v>1.27</v>
      </c>
      <c r="I409" s="257">
        <v>237</v>
      </c>
      <c r="J409" s="709">
        <f t="shared" si="54"/>
        <v>300.99</v>
      </c>
      <c r="K409" s="709">
        <f t="shared" ref="K409:K472" si="56">H409*$R$311</f>
        <v>10825.526793907587</v>
      </c>
      <c r="L409" s="626">
        <v>9200</v>
      </c>
      <c r="M409" s="626"/>
      <c r="O409" s="704"/>
      <c r="P409" s="704"/>
      <c r="Q409" s="704"/>
      <c r="S409" s="704">
        <f t="shared" si="52"/>
        <v>2180400</v>
      </c>
      <c r="T409" s="903">
        <f t="shared" si="53"/>
        <v>2565649.8501560981</v>
      </c>
    </row>
    <row r="410" spans="1:20" ht="17.25" customHeight="1">
      <c r="A410" s="741">
        <f t="shared" si="55"/>
        <v>239</v>
      </c>
      <c r="B410" s="291" t="s">
        <v>675</v>
      </c>
      <c r="C410" s="724">
        <v>42507</v>
      </c>
      <c r="D410" s="725" t="s">
        <v>590</v>
      </c>
      <c r="E410" s="807">
        <v>45</v>
      </c>
      <c r="F410" s="808">
        <v>37</v>
      </c>
      <c r="G410" s="808">
        <v>27.5</v>
      </c>
      <c r="H410" s="798">
        <f t="shared" ref="H410:H473" si="57">IF(G410&lt;&gt;"",ROUND(((E410+F410)*2+5)*(F410+G410+3)/10000,2),ROUND(E410*F410/10000,2))</f>
        <v>1.1399999999999999</v>
      </c>
      <c r="I410" s="257">
        <v>55</v>
      </c>
      <c r="J410" s="709">
        <f t="shared" si="54"/>
        <v>62.699999999999996</v>
      </c>
      <c r="K410" s="709">
        <f t="shared" si="56"/>
        <v>9717.402003980038</v>
      </c>
      <c r="L410" s="626">
        <v>13800</v>
      </c>
      <c r="M410" s="626"/>
      <c r="O410" s="704"/>
      <c r="P410" s="704"/>
      <c r="Q410" s="704"/>
      <c r="S410" s="704">
        <f t="shared" ref="S410:S473" si="58">I410*L410</f>
        <v>759000</v>
      </c>
      <c r="T410" s="903">
        <f t="shared" ref="T410:T473" si="59">I410*K410</f>
        <v>534457.11021890212</v>
      </c>
    </row>
    <row r="411" spans="1:20" ht="17.25" customHeight="1">
      <c r="A411" s="741">
        <f t="shared" si="55"/>
        <v>240</v>
      </c>
      <c r="B411" s="291" t="s">
        <v>504</v>
      </c>
      <c r="C411" s="724">
        <v>42507</v>
      </c>
      <c r="D411" s="725" t="s">
        <v>590</v>
      </c>
      <c r="E411" s="807">
        <v>47</v>
      </c>
      <c r="F411" s="808">
        <v>42</v>
      </c>
      <c r="G411" s="808">
        <v>25</v>
      </c>
      <c r="H411" s="798">
        <f t="shared" si="57"/>
        <v>1.28</v>
      </c>
      <c r="I411" s="257">
        <v>44</v>
      </c>
      <c r="J411" s="709">
        <f t="shared" si="54"/>
        <v>56.32</v>
      </c>
      <c r="K411" s="709">
        <f t="shared" si="56"/>
        <v>10910.767162363552</v>
      </c>
      <c r="L411" s="626">
        <v>9300</v>
      </c>
      <c r="M411" s="626"/>
      <c r="O411" s="704"/>
      <c r="P411" s="704"/>
      <c r="Q411" s="704"/>
      <c r="S411" s="704">
        <f t="shared" si="58"/>
        <v>409200</v>
      </c>
      <c r="T411" s="903">
        <f t="shared" si="59"/>
        <v>480073.75514399633</v>
      </c>
    </row>
    <row r="412" spans="1:20" ht="17.25" customHeight="1">
      <c r="A412" s="741">
        <f t="shared" si="55"/>
        <v>241</v>
      </c>
      <c r="B412" s="291" t="s">
        <v>928</v>
      </c>
      <c r="C412" s="724">
        <v>42507</v>
      </c>
      <c r="D412" s="725" t="s">
        <v>590</v>
      </c>
      <c r="E412" s="807">
        <v>56</v>
      </c>
      <c r="F412" s="808">
        <v>42</v>
      </c>
      <c r="G412" s="808">
        <v>27</v>
      </c>
      <c r="H412" s="798">
        <f t="shared" si="57"/>
        <v>1.45</v>
      </c>
      <c r="I412" s="257">
        <v>135</v>
      </c>
      <c r="J412" s="709">
        <f t="shared" si="54"/>
        <v>195.75</v>
      </c>
      <c r="K412" s="709">
        <f t="shared" si="56"/>
        <v>12359.853426114962</v>
      </c>
      <c r="L412" s="626">
        <v>14600</v>
      </c>
      <c r="M412" s="626"/>
      <c r="O412" s="704"/>
      <c r="P412" s="704"/>
      <c r="Q412" s="704"/>
      <c r="S412" s="704">
        <f t="shared" si="58"/>
        <v>1971000</v>
      </c>
      <c r="T412" s="903">
        <f t="shared" si="59"/>
        <v>1668580.2125255198</v>
      </c>
    </row>
    <row r="413" spans="1:20" ht="17.25" customHeight="1">
      <c r="A413" s="741">
        <f t="shared" si="55"/>
        <v>242</v>
      </c>
      <c r="B413" s="291" t="s">
        <v>448</v>
      </c>
      <c r="C413" s="724">
        <v>42507</v>
      </c>
      <c r="D413" s="725" t="s">
        <v>591</v>
      </c>
      <c r="E413" s="807">
        <v>103</v>
      </c>
      <c r="F413" s="808">
        <v>50</v>
      </c>
      <c r="G413" s="808">
        <v>180</v>
      </c>
      <c r="H413" s="798">
        <f t="shared" si="57"/>
        <v>7.25</v>
      </c>
      <c r="I413" s="257">
        <v>103</v>
      </c>
      <c r="J413" s="709">
        <f t="shared" si="54"/>
        <v>746.75</v>
      </c>
      <c r="K413" s="709">
        <f t="shared" si="56"/>
        <v>61799.267130574808</v>
      </c>
      <c r="L413" s="626">
        <v>47449</v>
      </c>
      <c r="M413" s="626"/>
      <c r="O413" s="704"/>
      <c r="P413" s="704"/>
      <c r="Q413" s="704"/>
      <c r="S413" s="704">
        <f t="shared" si="58"/>
        <v>4887247</v>
      </c>
      <c r="T413" s="903">
        <f t="shared" si="59"/>
        <v>6365324.5144492052</v>
      </c>
    </row>
    <row r="414" spans="1:20" ht="17.25" customHeight="1">
      <c r="A414" s="741">
        <f t="shared" si="55"/>
        <v>243</v>
      </c>
      <c r="B414" s="291" t="s">
        <v>943</v>
      </c>
      <c r="C414" s="724">
        <v>42507</v>
      </c>
      <c r="D414" s="725" t="s">
        <v>591</v>
      </c>
      <c r="E414" s="807">
        <v>103</v>
      </c>
      <c r="F414" s="808">
        <v>54</v>
      </c>
      <c r="G414" s="808">
        <v>180</v>
      </c>
      <c r="H414" s="798">
        <f t="shared" si="57"/>
        <v>7.56</v>
      </c>
      <c r="I414" s="257">
        <v>60</v>
      </c>
      <c r="J414" s="709">
        <f t="shared" si="54"/>
        <v>453.59999999999997</v>
      </c>
      <c r="K414" s="709">
        <f t="shared" si="56"/>
        <v>64441.718552709732</v>
      </c>
      <c r="L414" s="626">
        <v>73100</v>
      </c>
      <c r="M414" s="626"/>
      <c r="O414" s="704"/>
      <c r="P414" s="704"/>
      <c r="Q414" s="704"/>
      <c r="S414" s="704">
        <f t="shared" si="58"/>
        <v>4386000</v>
      </c>
      <c r="T414" s="903">
        <f t="shared" si="59"/>
        <v>3866503.1131625837</v>
      </c>
    </row>
    <row r="415" spans="1:20" ht="17.25" customHeight="1">
      <c r="A415" s="741">
        <f t="shared" si="55"/>
        <v>244</v>
      </c>
      <c r="B415" s="291" t="s">
        <v>691</v>
      </c>
      <c r="C415" s="724">
        <v>42507</v>
      </c>
      <c r="D415" s="725" t="s">
        <v>586</v>
      </c>
      <c r="E415" s="807">
        <v>33</v>
      </c>
      <c r="F415" s="808">
        <v>31</v>
      </c>
      <c r="G415" s="808">
        <v>12.3</v>
      </c>
      <c r="H415" s="798">
        <f t="shared" si="57"/>
        <v>0.62</v>
      </c>
      <c r="I415" s="257">
        <v>511</v>
      </c>
      <c r="J415" s="709">
        <f t="shared" si="54"/>
        <v>316.82</v>
      </c>
      <c r="K415" s="709">
        <f t="shared" si="56"/>
        <v>5284.9028442698454</v>
      </c>
      <c r="L415" s="626">
        <v>7500</v>
      </c>
      <c r="M415" s="626"/>
      <c r="O415" s="704"/>
      <c r="P415" s="704"/>
      <c r="Q415" s="704"/>
      <c r="S415" s="704">
        <f t="shared" si="58"/>
        <v>3832500</v>
      </c>
      <c r="T415" s="903">
        <f t="shared" si="59"/>
        <v>2700585.3534218911</v>
      </c>
    </row>
    <row r="416" spans="1:20" ht="17.25" customHeight="1">
      <c r="A416" s="741">
        <f t="shared" si="55"/>
        <v>245</v>
      </c>
      <c r="B416" s="291" t="s">
        <v>692</v>
      </c>
      <c r="C416" s="724">
        <v>42507</v>
      </c>
      <c r="D416" s="725" t="s">
        <v>586</v>
      </c>
      <c r="E416" s="807">
        <v>52</v>
      </c>
      <c r="F416" s="808">
        <v>29</v>
      </c>
      <c r="G416" s="808">
        <v>11.8</v>
      </c>
      <c r="H416" s="798">
        <f t="shared" si="57"/>
        <v>0.73</v>
      </c>
      <c r="I416" s="257">
        <v>503</v>
      </c>
      <c r="J416" s="709">
        <f t="shared" si="54"/>
        <v>367.19</v>
      </c>
      <c r="K416" s="709">
        <f t="shared" si="56"/>
        <v>6222.5468972854633</v>
      </c>
      <c r="L416" s="626">
        <v>8600</v>
      </c>
      <c r="M416" s="626"/>
      <c r="O416" s="704"/>
      <c r="P416" s="704"/>
      <c r="Q416" s="704"/>
      <c r="S416" s="704">
        <f t="shared" si="58"/>
        <v>4325800</v>
      </c>
      <c r="T416" s="903">
        <f t="shared" si="59"/>
        <v>3129941.089334588</v>
      </c>
    </row>
    <row r="417" spans="1:20" ht="17.25" customHeight="1">
      <c r="A417" s="741">
        <f t="shared" si="55"/>
        <v>246</v>
      </c>
      <c r="B417" s="291" t="s">
        <v>1060</v>
      </c>
      <c r="C417" s="724">
        <v>42507</v>
      </c>
      <c r="D417" s="725" t="s">
        <v>586</v>
      </c>
      <c r="E417" s="807">
        <v>23.5</v>
      </c>
      <c r="F417" s="808">
        <v>23.5</v>
      </c>
      <c r="G417" s="808">
        <v>30.5</v>
      </c>
      <c r="H417" s="798">
        <f t="shared" si="57"/>
        <v>0.56000000000000005</v>
      </c>
      <c r="I417" s="257">
        <v>960</v>
      </c>
      <c r="J417" s="709">
        <f t="shared" si="54"/>
        <v>537.6</v>
      </c>
      <c r="K417" s="709">
        <f t="shared" si="56"/>
        <v>4773.460633534055</v>
      </c>
      <c r="L417" s="626">
        <v>6700</v>
      </c>
      <c r="M417" s="626"/>
      <c r="O417" s="704"/>
      <c r="P417" s="704"/>
      <c r="Q417" s="704"/>
      <c r="S417" s="704">
        <f t="shared" si="58"/>
        <v>6432000</v>
      </c>
      <c r="T417" s="903">
        <f t="shared" si="59"/>
        <v>4582522.2081926931</v>
      </c>
    </row>
    <row r="418" spans="1:20" ht="17.25" customHeight="1">
      <c r="A418" s="741">
        <f t="shared" si="55"/>
        <v>247</v>
      </c>
      <c r="B418" s="291" t="s">
        <v>998</v>
      </c>
      <c r="C418" s="724">
        <v>42507</v>
      </c>
      <c r="D418" s="725" t="s">
        <v>588</v>
      </c>
      <c r="E418" s="807">
        <v>36.5</v>
      </c>
      <c r="F418" s="808">
        <v>26.5</v>
      </c>
      <c r="G418" s="808">
        <v>26</v>
      </c>
      <c r="H418" s="798">
        <f t="shared" si="57"/>
        <v>0.73</v>
      </c>
      <c r="I418" s="257">
        <v>530</v>
      </c>
      <c r="J418" s="709">
        <f t="shared" si="54"/>
        <v>386.9</v>
      </c>
      <c r="K418" s="709">
        <f t="shared" si="56"/>
        <v>6222.5468972854633</v>
      </c>
      <c r="L418" s="626">
        <v>11000</v>
      </c>
      <c r="M418" s="626"/>
      <c r="O418" s="704"/>
      <c r="P418" s="704"/>
      <c r="Q418" s="704"/>
      <c r="S418" s="704">
        <f t="shared" si="58"/>
        <v>5830000</v>
      </c>
      <c r="T418" s="903">
        <f t="shared" si="59"/>
        <v>3297949.8555612955</v>
      </c>
    </row>
    <row r="419" spans="1:20" ht="17.25" customHeight="1">
      <c r="A419" s="741">
        <f t="shared" si="55"/>
        <v>248</v>
      </c>
      <c r="B419" s="291" t="s">
        <v>466</v>
      </c>
      <c r="C419" s="724">
        <v>42508</v>
      </c>
      <c r="D419" s="725" t="s">
        <v>592</v>
      </c>
      <c r="E419" s="807">
        <v>37.5</v>
      </c>
      <c r="F419" s="808">
        <v>25.3</v>
      </c>
      <c r="G419" s="808">
        <v>23.9</v>
      </c>
      <c r="H419" s="798">
        <f t="shared" si="57"/>
        <v>0.68</v>
      </c>
      <c r="I419" s="257">
        <v>517</v>
      </c>
      <c r="J419" s="709">
        <f t="shared" si="54"/>
        <v>351.56</v>
      </c>
      <c r="K419" s="709">
        <f t="shared" si="56"/>
        <v>5796.3450550056377</v>
      </c>
      <c r="L419" s="626">
        <v>5900</v>
      </c>
      <c r="M419" s="626"/>
      <c r="O419" s="704"/>
      <c r="P419" s="704"/>
      <c r="Q419" s="704"/>
      <c r="S419" s="704">
        <f t="shared" si="58"/>
        <v>3050300</v>
      </c>
      <c r="T419" s="903">
        <f t="shared" si="59"/>
        <v>2996710.3934379146</v>
      </c>
    </row>
    <row r="420" spans="1:20" ht="17.25" customHeight="1">
      <c r="A420" s="741">
        <f t="shared" si="55"/>
        <v>249</v>
      </c>
      <c r="B420" s="291" t="s">
        <v>438</v>
      </c>
      <c r="C420" s="724">
        <v>42508</v>
      </c>
      <c r="D420" s="725" t="s">
        <v>593</v>
      </c>
      <c r="E420" s="807">
        <v>47</v>
      </c>
      <c r="F420" s="808">
        <v>42</v>
      </c>
      <c r="G420" s="808">
        <v>27</v>
      </c>
      <c r="H420" s="798">
        <f t="shared" si="57"/>
        <v>1.32</v>
      </c>
      <c r="I420" s="257">
        <v>65</v>
      </c>
      <c r="J420" s="709">
        <f t="shared" si="54"/>
        <v>85.8</v>
      </c>
      <c r="K420" s="709">
        <f t="shared" si="56"/>
        <v>11251.728636187414</v>
      </c>
      <c r="L420" s="626">
        <v>9500</v>
      </c>
      <c r="M420" s="626"/>
      <c r="O420" s="704"/>
      <c r="P420" s="704"/>
      <c r="Q420" s="704"/>
      <c r="S420" s="704">
        <f t="shared" si="58"/>
        <v>617500</v>
      </c>
      <c r="T420" s="903">
        <f t="shared" si="59"/>
        <v>731362.36135218188</v>
      </c>
    </row>
    <row r="421" spans="1:20" ht="17.25" customHeight="1">
      <c r="A421" s="741">
        <f t="shared" si="55"/>
        <v>250</v>
      </c>
      <c r="B421" s="291" t="s">
        <v>503</v>
      </c>
      <c r="C421" s="724">
        <v>42508</v>
      </c>
      <c r="D421" s="725" t="s">
        <v>593</v>
      </c>
      <c r="E421" s="807">
        <v>37</v>
      </c>
      <c r="F421" s="808">
        <v>37</v>
      </c>
      <c r="G421" s="808">
        <v>25</v>
      </c>
      <c r="H421" s="798">
        <f t="shared" si="57"/>
        <v>0.99</v>
      </c>
      <c r="I421" s="257">
        <v>88</v>
      </c>
      <c r="J421" s="709">
        <f t="shared" si="54"/>
        <v>87.12</v>
      </c>
      <c r="K421" s="709">
        <f t="shared" si="56"/>
        <v>8438.7964771405605</v>
      </c>
      <c r="L421" s="626">
        <v>7370</v>
      </c>
      <c r="M421" s="626"/>
      <c r="O421" s="704"/>
      <c r="P421" s="704"/>
      <c r="Q421" s="704"/>
      <c r="S421" s="704">
        <f t="shared" si="58"/>
        <v>648560</v>
      </c>
      <c r="T421" s="903">
        <f t="shared" si="59"/>
        <v>742614.08998836926</v>
      </c>
    </row>
    <row r="422" spans="1:20" ht="17.25" customHeight="1">
      <c r="A422" s="741">
        <f t="shared" si="55"/>
        <v>251</v>
      </c>
      <c r="B422" s="291" t="s">
        <v>510</v>
      </c>
      <c r="C422" s="724">
        <v>42508</v>
      </c>
      <c r="D422" s="725" t="s">
        <v>593</v>
      </c>
      <c r="E422" s="807">
        <v>47</v>
      </c>
      <c r="F422" s="808">
        <v>42</v>
      </c>
      <c r="G422" s="808">
        <v>24.5</v>
      </c>
      <c r="H422" s="798">
        <f t="shared" si="57"/>
        <v>1.27</v>
      </c>
      <c r="I422" s="257">
        <v>340</v>
      </c>
      <c r="J422" s="709">
        <f t="shared" si="54"/>
        <v>431.8</v>
      </c>
      <c r="K422" s="709">
        <f t="shared" si="56"/>
        <v>10825.526793907587</v>
      </c>
      <c r="L422" s="626">
        <v>9200</v>
      </c>
      <c r="M422" s="626"/>
      <c r="O422" s="704"/>
      <c r="P422" s="704"/>
      <c r="Q422" s="704"/>
      <c r="S422" s="704">
        <f t="shared" si="58"/>
        <v>3128000</v>
      </c>
      <c r="T422" s="903">
        <f t="shared" si="59"/>
        <v>3680679.1099285795</v>
      </c>
    </row>
    <row r="423" spans="1:20" ht="17.25" customHeight="1">
      <c r="A423" s="741">
        <f t="shared" si="55"/>
        <v>252</v>
      </c>
      <c r="B423" s="291" t="s">
        <v>971</v>
      </c>
      <c r="C423" s="724">
        <v>42508</v>
      </c>
      <c r="D423" s="725" t="s">
        <v>593</v>
      </c>
      <c r="E423" s="807">
        <v>47</v>
      </c>
      <c r="F423" s="808">
        <v>42</v>
      </c>
      <c r="G423" s="808">
        <v>13</v>
      </c>
      <c r="H423" s="798">
        <f t="shared" si="57"/>
        <v>1.06</v>
      </c>
      <c r="I423" s="257">
        <v>220</v>
      </c>
      <c r="J423" s="709">
        <f t="shared" si="54"/>
        <v>233.20000000000002</v>
      </c>
      <c r="K423" s="709">
        <f t="shared" si="56"/>
        <v>9035.4790563323168</v>
      </c>
      <c r="L423" s="626">
        <v>7900</v>
      </c>
      <c r="M423" s="626"/>
      <c r="O423" s="704"/>
      <c r="P423" s="704"/>
      <c r="Q423" s="704"/>
      <c r="S423" s="704">
        <f t="shared" si="58"/>
        <v>1738000</v>
      </c>
      <c r="T423" s="903">
        <f t="shared" si="59"/>
        <v>1987805.3923931096</v>
      </c>
    </row>
    <row r="424" spans="1:20" ht="17.25" customHeight="1">
      <c r="A424" s="741">
        <f t="shared" si="55"/>
        <v>253</v>
      </c>
      <c r="B424" s="291" t="s">
        <v>510</v>
      </c>
      <c r="C424" s="724">
        <v>42508</v>
      </c>
      <c r="D424" s="725" t="s">
        <v>593</v>
      </c>
      <c r="E424" s="807">
        <v>47</v>
      </c>
      <c r="F424" s="808">
        <v>42</v>
      </c>
      <c r="G424" s="808">
        <v>24.5</v>
      </c>
      <c r="H424" s="798">
        <f t="shared" si="57"/>
        <v>1.27</v>
      </c>
      <c r="I424" s="257">
        <v>212</v>
      </c>
      <c r="J424" s="709">
        <f t="shared" si="54"/>
        <v>269.24</v>
      </c>
      <c r="K424" s="709">
        <f t="shared" si="56"/>
        <v>10825.526793907587</v>
      </c>
      <c r="L424" s="626">
        <v>9200</v>
      </c>
      <c r="M424" s="626"/>
      <c r="O424" s="704"/>
      <c r="P424" s="704"/>
      <c r="Q424" s="704"/>
      <c r="S424" s="704">
        <f t="shared" si="58"/>
        <v>1950400</v>
      </c>
      <c r="T424" s="903">
        <f t="shared" si="59"/>
        <v>2295011.6803084086</v>
      </c>
    </row>
    <row r="425" spans="1:20" ht="17.25" customHeight="1">
      <c r="A425" s="741">
        <f t="shared" si="55"/>
        <v>254</v>
      </c>
      <c r="B425" s="291" t="s">
        <v>1061</v>
      </c>
      <c r="C425" s="724">
        <v>42513</v>
      </c>
      <c r="D425" s="725" t="s">
        <v>594</v>
      </c>
      <c r="E425" s="807">
        <v>54</v>
      </c>
      <c r="F425" s="808">
        <v>49</v>
      </c>
      <c r="G425" s="808">
        <v>74</v>
      </c>
      <c r="H425" s="798">
        <f t="shared" si="57"/>
        <v>2.66</v>
      </c>
      <c r="I425" s="257">
        <v>20</v>
      </c>
      <c r="J425" s="709">
        <f t="shared" si="54"/>
        <v>53.2</v>
      </c>
      <c r="K425" s="709">
        <f t="shared" si="56"/>
        <v>22673.938009286758</v>
      </c>
      <c r="L425" s="626">
        <v>25000</v>
      </c>
      <c r="M425" s="626"/>
      <c r="O425" s="704"/>
      <c r="P425" s="704"/>
      <c r="Q425" s="704"/>
      <c r="S425" s="704">
        <f t="shared" si="58"/>
        <v>500000</v>
      </c>
      <c r="T425" s="903">
        <f t="shared" si="59"/>
        <v>453478.76018573518</v>
      </c>
    </row>
    <row r="426" spans="1:20" ht="17.25" customHeight="1">
      <c r="A426" s="741">
        <f t="shared" si="55"/>
        <v>255</v>
      </c>
      <c r="B426" s="291" t="s">
        <v>1062</v>
      </c>
      <c r="C426" s="724">
        <v>42513</v>
      </c>
      <c r="D426" s="725" t="s">
        <v>594</v>
      </c>
      <c r="E426" s="807">
        <v>54</v>
      </c>
      <c r="F426" s="808">
        <v>49</v>
      </c>
      <c r="G426" s="808">
        <v>61</v>
      </c>
      <c r="H426" s="798">
        <f t="shared" si="57"/>
        <v>2.38</v>
      </c>
      <c r="I426" s="257">
        <v>20</v>
      </c>
      <c r="J426" s="709">
        <f t="shared" si="54"/>
        <v>47.599999999999994</v>
      </c>
      <c r="K426" s="709">
        <f t="shared" si="56"/>
        <v>20287.207692519729</v>
      </c>
      <c r="L426" s="626">
        <v>22500</v>
      </c>
      <c r="M426" s="626"/>
      <c r="O426" s="704"/>
      <c r="P426" s="704"/>
      <c r="Q426" s="704"/>
      <c r="S426" s="704">
        <f t="shared" si="58"/>
        <v>450000</v>
      </c>
      <c r="T426" s="903">
        <f t="shared" si="59"/>
        <v>405744.15385039459</v>
      </c>
    </row>
    <row r="427" spans="1:20" ht="17.25" customHeight="1">
      <c r="A427" s="741">
        <f t="shared" si="55"/>
        <v>256</v>
      </c>
      <c r="B427" s="291" t="s">
        <v>1063</v>
      </c>
      <c r="C427" s="724">
        <v>42513</v>
      </c>
      <c r="D427" s="725" t="s">
        <v>594</v>
      </c>
      <c r="E427" s="807">
        <v>60.5</v>
      </c>
      <c r="F427" s="808">
        <v>60.5</v>
      </c>
      <c r="G427" s="808">
        <v>63</v>
      </c>
      <c r="H427" s="798">
        <f t="shared" si="57"/>
        <v>3.12</v>
      </c>
      <c r="I427" s="257">
        <v>60</v>
      </c>
      <c r="J427" s="709">
        <f t="shared" si="54"/>
        <v>187.20000000000002</v>
      </c>
      <c r="K427" s="709">
        <f t="shared" si="56"/>
        <v>26594.994958261159</v>
      </c>
      <c r="L427" s="626">
        <v>20100</v>
      </c>
      <c r="M427" s="626"/>
      <c r="O427" s="704"/>
      <c r="P427" s="704"/>
      <c r="Q427" s="704"/>
      <c r="S427" s="704">
        <f t="shared" si="58"/>
        <v>1206000</v>
      </c>
      <c r="T427" s="903">
        <f t="shared" si="59"/>
        <v>1595699.6974956696</v>
      </c>
    </row>
    <row r="428" spans="1:20" ht="17.25" customHeight="1">
      <c r="A428" s="741">
        <f t="shared" si="55"/>
        <v>257</v>
      </c>
      <c r="B428" s="291" t="s">
        <v>1064</v>
      </c>
      <c r="C428" s="724">
        <v>42513</v>
      </c>
      <c r="D428" s="725" t="s">
        <v>594</v>
      </c>
      <c r="E428" s="807">
        <v>55</v>
      </c>
      <c r="F428" s="808">
        <v>46</v>
      </c>
      <c r="G428" s="808">
        <v>53</v>
      </c>
      <c r="H428" s="798">
        <f t="shared" si="57"/>
        <v>2.11</v>
      </c>
      <c r="I428" s="257">
        <v>20</v>
      </c>
      <c r="J428" s="709">
        <f t="shared" si="54"/>
        <v>42.199999999999996</v>
      </c>
      <c r="K428" s="709">
        <f t="shared" si="56"/>
        <v>17985.717744208669</v>
      </c>
      <c r="L428" s="626">
        <v>22000</v>
      </c>
      <c r="M428" s="626"/>
      <c r="O428" s="704"/>
      <c r="P428" s="704"/>
      <c r="Q428" s="704"/>
      <c r="S428" s="704">
        <f t="shared" si="58"/>
        <v>440000</v>
      </c>
      <c r="T428" s="903">
        <f t="shared" si="59"/>
        <v>359714.35488417337</v>
      </c>
    </row>
    <row r="429" spans="1:20" ht="17.25" customHeight="1">
      <c r="A429" s="741">
        <f t="shared" si="55"/>
        <v>258</v>
      </c>
      <c r="B429" s="291" t="s">
        <v>1065</v>
      </c>
      <c r="C429" s="724">
        <v>42513</v>
      </c>
      <c r="D429" s="725" t="s">
        <v>594</v>
      </c>
      <c r="E429" s="807">
        <v>55</v>
      </c>
      <c r="F429" s="808">
        <v>49</v>
      </c>
      <c r="G429" s="808">
        <v>55</v>
      </c>
      <c r="H429" s="798">
        <f t="shared" si="57"/>
        <v>2.2799999999999998</v>
      </c>
      <c r="I429" s="257">
        <v>20</v>
      </c>
      <c r="J429" s="709">
        <f t="shared" si="54"/>
        <v>45.599999999999994</v>
      </c>
      <c r="K429" s="709">
        <f t="shared" si="56"/>
        <v>19434.804007960076</v>
      </c>
      <c r="L429" s="626">
        <v>21500</v>
      </c>
      <c r="M429" s="626"/>
      <c r="O429" s="704"/>
      <c r="P429" s="704"/>
      <c r="Q429" s="704"/>
      <c r="S429" s="704">
        <f t="shared" si="58"/>
        <v>430000</v>
      </c>
      <c r="T429" s="903">
        <f t="shared" si="59"/>
        <v>388696.08015920152</v>
      </c>
    </row>
    <row r="430" spans="1:20" ht="17.25" customHeight="1">
      <c r="A430" s="741">
        <f t="shared" si="55"/>
        <v>259</v>
      </c>
      <c r="B430" s="291" t="s">
        <v>1066</v>
      </c>
      <c r="C430" s="724">
        <v>42513</v>
      </c>
      <c r="D430" s="725" t="s">
        <v>594</v>
      </c>
      <c r="E430" s="807">
        <v>55</v>
      </c>
      <c r="F430" s="808">
        <v>51</v>
      </c>
      <c r="G430" s="808">
        <v>62</v>
      </c>
      <c r="H430" s="798">
        <f t="shared" si="57"/>
        <v>2.52</v>
      </c>
      <c r="I430" s="257">
        <v>22</v>
      </c>
      <c r="J430" s="709">
        <f t="shared" si="54"/>
        <v>55.44</v>
      </c>
      <c r="K430" s="709">
        <f t="shared" si="56"/>
        <v>21480.572850903245</v>
      </c>
      <c r="L430" s="626">
        <v>24300</v>
      </c>
      <c r="M430" s="626"/>
      <c r="O430" s="704"/>
      <c r="P430" s="704"/>
      <c r="Q430" s="704"/>
      <c r="S430" s="704">
        <f t="shared" si="58"/>
        <v>534600</v>
      </c>
      <c r="T430" s="903">
        <f t="shared" si="59"/>
        <v>472572.60271987139</v>
      </c>
    </row>
    <row r="431" spans="1:20" ht="17.25" customHeight="1">
      <c r="A431" s="741">
        <f t="shared" si="55"/>
        <v>260</v>
      </c>
      <c r="B431" s="291" t="s">
        <v>1067</v>
      </c>
      <c r="C431" s="724">
        <v>42513</v>
      </c>
      <c r="D431" s="725" t="s">
        <v>594</v>
      </c>
      <c r="E431" s="807">
        <v>49</v>
      </c>
      <c r="F431" s="808">
        <v>44</v>
      </c>
      <c r="G431" s="808">
        <v>34</v>
      </c>
      <c r="H431" s="798">
        <f t="shared" si="57"/>
        <v>1.55</v>
      </c>
      <c r="I431" s="257">
        <v>24</v>
      </c>
      <c r="J431" s="709">
        <f t="shared" si="54"/>
        <v>37.200000000000003</v>
      </c>
      <c r="K431" s="709">
        <f t="shared" si="56"/>
        <v>13212.257110674615</v>
      </c>
      <c r="L431" s="626">
        <v>13000</v>
      </c>
      <c r="M431" s="626"/>
      <c r="O431" s="704"/>
      <c r="P431" s="704"/>
      <c r="Q431" s="704"/>
      <c r="S431" s="704">
        <f t="shared" si="58"/>
        <v>312000</v>
      </c>
      <c r="T431" s="903">
        <f t="shared" si="59"/>
        <v>317094.17065619072</v>
      </c>
    </row>
    <row r="432" spans="1:20" ht="17.25" customHeight="1">
      <c r="A432" s="741">
        <f t="shared" si="55"/>
        <v>261</v>
      </c>
      <c r="B432" s="291" t="s">
        <v>1068</v>
      </c>
      <c r="C432" s="724">
        <v>42513</v>
      </c>
      <c r="D432" s="725" t="s">
        <v>594</v>
      </c>
      <c r="E432" s="807">
        <v>44</v>
      </c>
      <c r="F432" s="808">
        <v>38</v>
      </c>
      <c r="G432" s="808">
        <v>45</v>
      </c>
      <c r="H432" s="798">
        <f t="shared" si="57"/>
        <v>1.45</v>
      </c>
      <c r="I432" s="257">
        <v>24</v>
      </c>
      <c r="J432" s="709">
        <f t="shared" si="54"/>
        <v>34.799999999999997</v>
      </c>
      <c r="K432" s="709">
        <f t="shared" si="56"/>
        <v>12359.853426114962</v>
      </c>
      <c r="L432" s="626">
        <v>13000</v>
      </c>
      <c r="M432" s="626"/>
      <c r="O432" s="704"/>
      <c r="P432" s="704"/>
      <c r="Q432" s="704"/>
      <c r="S432" s="704">
        <f t="shared" si="58"/>
        <v>312000</v>
      </c>
      <c r="T432" s="903">
        <f t="shared" si="59"/>
        <v>296636.48222675908</v>
      </c>
    </row>
    <row r="433" spans="1:20" ht="17.25" customHeight="1">
      <c r="A433" s="741">
        <f t="shared" si="55"/>
        <v>262</v>
      </c>
      <c r="B433" s="291" t="s">
        <v>1069</v>
      </c>
      <c r="C433" s="724">
        <v>42513</v>
      </c>
      <c r="D433" s="725" t="s">
        <v>594</v>
      </c>
      <c r="E433" s="807">
        <v>49</v>
      </c>
      <c r="F433" s="808">
        <v>47</v>
      </c>
      <c r="G433" s="808">
        <v>39</v>
      </c>
      <c r="H433" s="798">
        <f t="shared" si="57"/>
        <v>1.75</v>
      </c>
      <c r="I433" s="257">
        <v>26</v>
      </c>
      <c r="J433" s="709">
        <f t="shared" si="54"/>
        <v>45.5</v>
      </c>
      <c r="K433" s="709">
        <f t="shared" si="56"/>
        <v>14917.06447979392</v>
      </c>
      <c r="L433" s="626">
        <v>15000</v>
      </c>
      <c r="M433" s="626"/>
      <c r="O433" s="704"/>
      <c r="P433" s="704"/>
      <c r="Q433" s="704"/>
      <c r="S433" s="704">
        <f t="shared" si="58"/>
        <v>390000</v>
      </c>
      <c r="T433" s="903">
        <f t="shared" si="59"/>
        <v>387843.67647464195</v>
      </c>
    </row>
    <row r="434" spans="1:20" ht="17.25" customHeight="1">
      <c r="A434" s="741">
        <f t="shared" si="55"/>
        <v>263</v>
      </c>
      <c r="B434" s="291" t="s">
        <v>640</v>
      </c>
      <c r="C434" s="724">
        <v>42513</v>
      </c>
      <c r="D434" s="725" t="s">
        <v>596</v>
      </c>
      <c r="E434" s="807">
        <v>80</v>
      </c>
      <c r="F434" s="808">
        <v>60</v>
      </c>
      <c r="G434" s="808">
        <v>50</v>
      </c>
      <c r="H434" s="798">
        <f t="shared" si="57"/>
        <v>3.22</v>
      </c>
      <c r="I434" s="257">
        <v>158</v>
      </c>
      <c r="J434" s="709">
        <f t="shared" si="54"/>
        <v>508.76000000000005</v>
      </c>
      <c r="K434" s="709">
        <f t="shared" si="56"/>
        <v>27447.398642820812</v>
      </c>
      <c r="L434" s="626">
        <v>22750</v>
      </c>
      <c r="M434" s="626"/>
      <c r="O434" s="704"/>
      <c r="P434" s="704"/>
      <c r="Q434" s="704"/>
      <c r="S434" s="704">
        <f t="shared" si="58"/>
        <v>3594500</v>
      </c>
      <c r="T434" s="903">
        <f t="shared" si="59"/>
        <v>4336688.9855656885</v>
      </c>
    </row>
    <row r="435" spans="1:20" ht="17.25" customHeight="1">
      <c r="A435" s="741">
        <f t="shared" si="55"/>
        <v>264</v>
      </c>
      <c r="B435" s="291" t="s">
        <v>1474</v>
      </c>
      <c r="C435" s="724">
        <v>42515</v>
      </c>
      <c r="D435" s="725" t="s">
        <v>1070</v>
      </c>
      <c r="E435" s="807">
        <v>49</v>
      </c>
      <c r="F435" s="808">
        <v>38</v>
      </c>
      <c r="G435" s="808">
        <v>12</v>
      </c>
      <c r="H435" s="798">
        <f t="shared" si="57"/>
        <v>0.95</v>
      </c>
      <c r="I435" s="257">
        <v>505</v>
      </c>
      <c r="J435" s="709">
        <f t="shared" si="54"/>
        <v>479.75</v>
      </c>
      <c r="K435" s="709">
        <f t="shared" si="56"/>
        <v>8097.8350033166989</v>
      </c>
      <c r="L435" s="626">
        <v>10500</v>
      </c>
      <c r="M435" s="626"/>
      <c r="O435" s="704"/>
      <c r="P435" s="704"/>
      <c r="Q435" s="704"/>
      <c r="S435" s="704">
        <f t="shared" si="58"/>
        <v>5302500</v>
      </c>
      <c r="T435" s="903">
        <f t="shared" si="59"/>
        <v>4089406.6766749332</v>
      </c>
    </row>
    <row r="436" spans="1:20" ht="17.25" customHeight="1">
      <c r="A436" s="741">
        <f t="shared" si="55"/>
        <v>265</v>
      </c>
      <c r="B436" s="291" t="s">
        <v>466</v>
      </c>
      <c r="C436" s="724">
        <v>42517</v>
      </c>
      <c r="D436" s="725" t="s">
        <v>597</v>
      </c>
      <c r="E436" s="807">
        <v>37.5</v>
      </c>
      <c r="F436" s="808">
        <v>25.3</v>
      </c>
      <c r="G436" s="808">
        <v>23.9</v>
      </c>
      <c r="H436" s="798">
        <f t="shared" si="57"/>
        <v>0.68</v>
      </c>
      <c r="I436" s="257">
        <v>1021</v>
      </c>
      <c r="J436" s="709">
        <f t="shared" si="54"/>
        <v>694.28000000000009</v>
      </c>
      <c r="K436" s="709">
        <f t="shared" si="56"/>
        <v>5796.3450550056377</v>
      </c>
      <c r="L436" s="626">
        <v>5900</v>
      </c>
      <c r="M436" s="626"/>
      <c r="O436" s="704"/>
      <c r="P436" s="704"/>
      <c r="Q436" s="704"/>
      <c r="S436" s="704">
        <f t="shared" si="58"/>
        <v>6023900</v>
      </c>
      <c r="T436" s="903">
        <f t="shared" si="59"/>
        <v>5918068.3011607565</v>
      </c>
    </row>
    <row r="437" spans="1:20" ht="17.25" customHeight="1">
      <c r="A437" s="741">
        <f t="shared" si="55"/>
        <v>266</v>
      </c>
      <c r="B437" s="291" t="s">
        <v>448</v>
      </c>
      <c r="C437" s="724">
        <v>42517</v>
      </c>
      <c r="D437" s="725" t="s">
        <v>598</v>
      </c>
      <c r="E437" s="807">
        <v>103</v>
      </c>
      <c r="F437" s="808">
        <v>50</v>
      </c>
      <c r="G437" s="808">
        <v>180</v>
      </c>
      <c r="H437" s="798">
        <f t="shared" si="57"/>
        <v>7.25</v>
      </c>
      <c r="I437" s="257">
        <v>246</v>
      </c>
      <c r="J437" s="709">
        <f t="shared" si="54"/>
        <v>1783.5</v>
      </c>
      <c r="K437" s="709">
        <f t="shared" si="56"/>
        <v>61799.267130574808</v>
      </c>
      <c r="L437" s="626">
        <v>47449</v>
      </c>
      <c r="M437" s="626"/>
      <c r="O437" s="704"/>
      <c r="P437" s="704"/>
      <c r="Q437" s="704"/>
      <c r="S437" s="704">
        <f t="shared" si="58"/>
        <v>11672454</v>
      </c>
      <c r="T437" s="903">
        <f t="shared" si="59"/>
        <v>15202619.714121403</v>
      </c>
    </row>
    <row r="438" spans="1:20" ht="17.25" customHeight="1">
      <c r="A438" s="741">
        <f t="shared" si="55"/>
        <v>267</v>
      </c>
      <c r="B438" s="291" t="s">
        <v>943</v>
      </c>
      <c r="C438" s="724">
        <v>42517</v>
      </c>
      <c r="D438" s="725" t="s">
        <v>598</v>
      </c>
      <c r="E438" s="807">
        <v>103</v>
      </c>
      <c r="F438" s="808">
        <v>54</v>
      </c>
      <c r="G438" s="808">
        <v>180</v>
      </c>
      <c r="H438" s="798">
        <f t="shared" si="57"/>
        <v>7.56</v>
      </c>
      <c r="I438" s="257">
        <v>60</v>
      </c>
      <c r="J438" s="709">
        <f t="shared" si="54"/>
        <v>453.59999999999997</v>
      </c>
      <c r="K438" s="709">
        <f t="shared" si="56"/>
        <v>64441.718552709732</v>
      </c>
      <c r="L438" s="626">
        <v>73100</v>
      </c>
      <c r="M438" s="626"/>
      <c r="O438" s="704"/>
      <c r="P438" s="704"/>
      <c r="Q438" s="704"/>
      <c r="S438" s="704">
        <f t="shared" si="58"/>
        <v>4386000</v>
      </c>
      <c r="T438" s="903">
        <f t="shared" si="59"/>
        <v>3866503.1131625837</v>
      </c>
    </row>
    <row r="439" spans="1:20" ht="17.25" customHeight="1">
      <c r="A439" s="741">
        <f t="shared" si="55"/>
        <v>268</v>
      </c>
      <c r="B439" s="291" t="s">
        <v>507</v>
      </c>
      <c r="C439" s="724">
        <v>42518</v>
      </c>
      <c r="D439" s="725" t="s">
        <v>600</v>
      </c>
      <c r="E439" s="807">
        <v>43</v>
      </c>
      <c r="F439" s="808">
        <v>27.5</v>
      </c>
      <c r="G439" s="808">
        <v>33</v>
      </c>
      <c r="H439" s="798">
        <f t="shared" si="57"/>
        <v>0.93</v>
      </c>
      <c r="I439" s="257">
        <v>106</v>
      </c>
      <c r="J439" s="709">
        <f t="shared" si="54"/>
        <v>98.58</v>
      </c>
      <c r="K439" s="709">
        <f t="shared" si="56"/>
        <v>7927.3542664047691</v>
      </c>
      <c r="L439" s="626">
        <v>6400</v>
      </c>
      <c r="M439" s="626"/>
      <c r="O439" s="704"/>
      <c r="P439" s="704"/>
      <c r="Q439" s="704"/>
      <c r="S439" s="704">
        <f t="shared" si="58"/>
        <v>678400</v>
      </c>
      <c r="T439" s="903">
        <f t="shared" si="59"/>
        <v>840299.55223890557</v>
      </c>
    </row>
    <row r="440" spans="1:20" ht="17.25" customHeight="1">
      <c r="A440" s="741">
        <f t="shared" si="55"/>
        <v>269</v>
      </c>
      <c r="B440" s="291" t="s">
        <v>445</v>
      </c>
      <c r="C440" s="724">
        <v>42518</v>
      </c>
      <c r="D440" s="725" t="s">
        <v>600</v>
      </c>
      <c r="E440" s="807">
        <v>49.5</v>
      </c>
      <c r="F440" s="808">
        <v>38.5</v>
      </c>
      <c r="G440" s="808">
        <v>32.5</v>
      </c>
      <c r="H440" s="798">
        <f t="shared" si="57"/>
        <v>1.34</v>
      </c>
      <c r="I440" s="257">
        <v>207</v>
      </c>
      <c r="J440" s="709">
        <f t="shared" si="54"/>
        <v>277.38</v>
      </c>
      <c r="K440" s="709">
        <f t="shared" si="56"/>
        <v>11422.209373099344</v>
      </c>
      <c r="L440" s="626">
        <v>12900</v>
      </c>
      <c r="M440" s="626"/>
      <c r="O440" s="704"/>
      <c r="P440" s="704"/>
      <c r="Q440" s="704"/>
      <c r="S440" s="704">
        <f t="shared" si="58"/>
        <v>2670300</v>
      </c>
      <c r="T440" s="903">
        <f t="shared" si="59"/>
        <v>2364397.3402315644</v>
      </c>
    </row>
    <row r="441" spans="1:20" ht="17.25" customHeight="1">
      <c r="A441" s="741">
        <f t="shared" si="55"/>
        <v>270</v>
      </c>
      <c r="B441" s="291" t="s">
        <v>448</v>
      </c>
      <c r="C441" s="724">
        <v>42519</v>
      </c>
      <c r="D441" s="725" t="s">
        <v>599</v>
      </c>
      <c r="E441" s="807">
        <v>103</v>
      </c>
      <c r="F441" s="808">
        <v>50</v>
      </c>
      <c r="G441" s="808">
        <v>180</v>
      </c>
      <c r="H441" s="798">
        <f t="shared" si="57"/>
        <v>7.25</v>
      </c>
      <c r="I441" s="257">
        <v>150</v>
      </c>
      <c r="J441" s="709">
        <f t="shared" si="54"/>
        <v>1087.5</v>
      </c>
      <c r="K441" s="709">
        <f t="shared" si="56"/>
        <v>61799.267130574808</v>
      </c>
      <c r="L441" s="626">
        <v>47449</v>
      </c>
      <c r="M441" s="626"/>
      <c r="O441" s="704"/>
      <c r="P441" s="704"/>
      <c r="Q441" s="704"/>
      <c r="S441" s="704">
        <f t="shared" si="58"/>
        <v>7117350</v>
      </c>
      <c r="T441" s="903">
        <f t="shared" si="59"/>
        <v>9269890.0695862211</v>
      </c>
    </row>
    <row r="442" spans="1:20" ht="17.25" customHeight="1">
      <c r="A442" s="741">
        <f t="shared" si="55"/>
        <v>271</v>
      </c>
      <c r="B442" s="291" t="s">
        <v>1071</v>
      </c>
      <c r="C442" s="724">
        <v>42520</v>
      </c>
      <c r="D442" s="725" t="s">
        <v>602</v>
      </c>
      <c r="E442" s="807">
        <v>33</v>
      </c>
      <c r="F442" s="808">
        <v>33</v>
      </c>
      <c r="G442" s="808">
        <v>25.5</v>
      </c>
      <c r="H442" s="798">
        <f t="shared" si="57"/>
        <v>0.84</v>
      </c>
      <c r="I442" s="257">
        <v>306</v>
      </c>
      <c r="J442" s="709">
        <f t="shared" si="54"/>
        <v>257.03999999999996</v>
      </c>
      <c r="K442" s="709">
        <f t="shared" si="56"/>
        <v>7160.1909503010811</v>
      </c>
      <c r="L442" s="626">
        <v>6700</v>
      </c>
      <c r="M442" s="626"/>
      <c r="O442" s="704"/>
      <c r="P442" s="704"/>
      <c r="Q442" s="704"/>
      <c r="S442" s="704">
        <f t="shared" si="58"/>
        <v>2050200</v>
      </c>
      <c r="T442" s="903">
        <f t="shared" si="59"/>
        <v>2191018.430792131</v>
      </c>
    </row>
    <row r="443" spans="1:20" ht="17.25" customHeight="1">
      <c r="A443" s="741">
        <f t="shared" si="55"/>
        <v>272</v>
      </c>
      <c r="B443" s="291" t="s">
        <v>1072</v>
      </c>
      <c r="C443" s="724">
        <v>42520</v>
      </c>
      <c r="D443" s="725" t="s">
        <v>602</v>
      </c>
      <c r="E443" s="807">
        <v>31</v>
      </c>
      <c r="F443" s="759">
        <v>31</v>
      </c>
      <c r="G443" s="759">
        <v>21.5</v>
      </c>
      <c r="H443" s="798">
        <f t="shared" si="57"/>
        <v>0.72</v>
      </c>
      <c r="I443" s="257">
        <v>403</v>
      </c>
      <c r="J443" s="709">
        <f t="shared" si="54"/>
        <v>290.15999999999997</v>
      </c>
      <c r="K443" s="709">
        <f t="shared" si="56"/>
        <v>6137.3065288294983</v>
      </c>
      <c r="L443" s="626">
        <v>5980</v>
      </c>
      <c r="M443" s="626"/>
      <c r="O443" s="704"/>
      <c r="P443" s="704"/>
      <c r="Q443" s="704"/>
      <c r="S443" s="704">
        <f t="shared" si="58"/>
        <v>2409940</v>
      </c>
      <c r="T443" s="903">
        <f t="shared" si="59"/>
        <v>2473334.5311182877</v>
      </c>
    </row>
    <row r="444" spans="1:20" ht="17.25" customHeight="1">
      <c r="A444" s="741">
        <f t="shared" si="55"/>
        <v>273</v>
      </c>
      <c r="B444" s="291" t="s">
        <v>1073</v>
      </c>
      <c r="C444" s="724">
        <v>42520</v>
      </c>
      <c r="D444" s="725" t="s">
        <v>602</v>
      </c>
      <c r="E444" s="807">
        <v>40</v>
      </c>
      <c r="F444" s="808">
        <v>40</v>
      </c>
      <c r="G444" s="808">
        <v>40</v>
      </c>
      <c r="H444" s="798">
        <f t="shared" si="57"/>
        <v>1.37</v>
      </c>
      <c r="I444" s="257">
        <v>307</v>
      </c>
      <c r="J444" s="709">
        <f t="shared" si="54"/>
        <v>420.59000000000003</v>
      </c>
      <c r="K444" s="709">
        <f t="shared" si="56"/>
        <v>11677.93047846724</v>
      </c>
      <c r="L444" s="626">
        <v>8000</v>
      </c>
      <c r="M444" s="626"/>
      <c r="O444" s="704"/>
      <c r="P444" s="704"/>
      <c r="Q444" s="704"/>
      <c r="S444" s="704">
        <f t="shared" si="58"/>
        <v>2456000</v>
      </c>
      <c r="T444" s="903">
        <f t="shared" si="59"/>
        <v>3585124.6568894428</v>
      </c>
    </row>
    <row r="445" spans="1:20" ht="17.25" customHeight="1">
      <c r="A445" s="741">
        <f t="shared" si="55"/>
        <v>274</v>
      </c>
      <c r="B445" s="291" t="s">
        <v>419</v>
      </c>
      <c r="C445" s="724">
        <v>42522</v>
      </c>
      <c r="D445" s="725" t="s">
        <v>603</v>
      </c>
      <c r="E445" s="807">
        <v>52</v>
      </c>
      <c r="F445" s="808">
        <v>24.5</v>
      </c>
      <c r="G445" s="808">
        <v>24.5</v>
      </c>
      <c r="H445" s="798">
        <f t="shared" si="57"/>
        <v>0.82</v>
      </c>
      <c r="I445" s="257">
        <v>1600</v>
      </c>
      <c r="J445" s="709">
        <f t="shared" si="54"/>
        <v>1312</v>
      </c>
      <c r="K445" s="709">
        <f t="shared" si="56"/>
        <v>6989.7102133891503</v>
      </c>
      <c r="L445" s="626">
        <v>5000</v>
      </c>
      <c r="M445" s="626"/>
      <c r="O445" s="704"/>
      <c r="P445" s="704"/>
      <c r="Q445" s="704"/>
      <c r="S445" s="704">
        <f t="shared" si="58"/>
        <v>8000000</v>
      </c>
      <c r="T445" s="903">
        <f t="shared" si="59"/>
        <v>11183536.34142264</v>
      </c>
    </row>
    <row r="446" spans="1:20" ht="17.25" customHeight="1">
      <c r="A446" s="741">
        <f t="shared" si="55"/>
        <v>275</v>
      </c>
      <c r="B446" s="291" t="s">
        <v>471</v>
      </c>
      <c r="C446" s="724">
        <v>42522</v>
      </c>
      <c r="D446" s="725" t="s">
        <v>603</v>
      </c>
      <c r="E446" s="807">
        <v>55</v>
      </c>
      <c r="F446" s="808">
        <v>45</v>
      </c>
      <c r="G446" s="808">
        <v>29</v>
      </c>
      <c r="H446" s="798">
        <f t="shared" si="57"/>
        <v>1.58</v>
      </c>
      <c r="I446" s="257">
        <v>750</v>
      </c>
      <c r="J446" s="709">
        <f t="shared" si="54"/>
        <v>1185</v>
      </c>
      <c r="K446" s="709">
        <f t="shared" si="56"/>
        <v>13467.978216042511</v>
      </c>
      <c r="L446" s="626">
        <v>9700</v>
      </c>
      <c r="M446" s="626"/>
      <c r="O446" s="704"/>
      <c r="P446" s="704"/>
      <c r="Q446" s="704"/>
      <c r="S446" s="704">
        <f t="shared" si="58"/>
        <v>7275000</v>
      </c>
      <c r="T446" s="903">
        <f t="shared" si="59"/>
        <v>10100983.662031883</v>
      </c>
    </row>
    <row r="447" spans="1:20" ht="17.25" customHeight="1">
      <c r="A447" s="741">
        <f t="shared" si="55"/>
        <v>276</v>
      </c>
      <c r="B447" s="291" t="s">
        <v>448</v>
      </c>
      <c r="C447" s="724">
        <v>42522</v>
      </c>
      <c r="D447" s="725" t="s">
        <v>604</v>
      </c>
      <c r="E447" s="807">
        <v>103</v>
      </c>
      <c r="F447" s="808">
        <v>50</v>
      </c>
      <c r="G447" s="808">
        <v>180</v>
      </c>
      <c r="H447" s="798">
        <f t="shared" si="57"/>
        <v>7.25</v>
      </c>
      <c r="I447" s="257">
        <v>170</v>
      </c>
      <c r="J447" s="709">
        <f t="shared" si="54"/>
        <v>1232.5</v>
      </c>
      <c r="K447" s="709">
        <f t="shared" si="56"/>
        <v>61799.267130574808</v>
      </c>
      <c r="L447" s="626">
        <v>47449</v>
      </c>
      <c r="M447" s="626"/>
      <c r="O447" s="704"/>
      <c r="P447" s="704"/>
      <c r="Q447" s="704"/>
      <c r="S447" s="704">
        <f t="shared" si="58"/>
        <v>8066330</v>
      </c>
      <c r="T447" s="903">
        <f t="shared" si="59"/>
        <v>10505875.412197717</v>
      </c>
    </row>
    <row r="448" spans="1:20" ht="17.25" customHeight="1">
      <c r="A448" s="741">
        <f t="shared" si="55"/>
        <v>277</v>
      </c>
      <c r="B448" s="291" t="s">
        <v>964</v>
      </c>
      <c r="C448" s="724">
        <v>42522</v>
      </c>
      <c r="D448" s="725" t="s">
        <v>605</v>
      </c>
      <c r="E448" s="807">
        <v>48</v>
      </c>
      <c r="F448" s="808">
        <v>42</v>
      </c>
      <c r="G448" s="808">
        <v>31</v>
      </c>
      <c r="H448" s="798">
        <f t="shared" si="57"/>
        <v>1.41</v>
      </c>
      <c r="I448" s="257">
        <v>245</v>
      </c>
      <c r="J448" s="709">
        <f t="shared" si="54"/>
        <v>345.45</v>
      </c>
      <c r="K448" s="709">
        <f t="shared" si="56"/>
        <v>12018.8919522911</v>
      </c>
      <c r="L448" s="626">
        <v>14500</v>
      </c>
      <c r="M448" s="626"/>
      <c r="O448" s="704"/>
      <c r="P448" s="704"/>
      <c r="Q448" s="704"/>
      <c r="S448" s="704">
        <f t="shared" si="58"/>
        <v>3552500</v>
      </c>
      <c r="T448" s="903">
        <f t="shared" si="59"/>
        <v>2944628.5283113196</v>
      </c>
    </row>
    <row r="449" spans="1:20" ht="17.25" customHeight="1">
      <c r="A449" s="741">
        <f t="shared" si="55"/>
        <v>278</v>
      </c>
      <c r="B449" s="291" t="s">
        <v>437</v>
      </c>
      <c r="C449" s="724">
        <v>42522</v>
      </c>
      <c r="D449" s="725" t="s">
        <v>605</v>
      </c>
      <c r="E449" s="807">
        <v>37</v>
      </c>
      <c r="F449" s="808">
        <v>37</v>
      </c>
      <c r="G449" s="808">
        <v>29</v>
      </c>
      <c r="H449" s="798">
        <f t="shared" si="57"/>
        <v>1.06</v>
      </c>
      <c r="I449" s="257">
        <v>35</v>
      </c>
      <c r="J449" s="709">
        <f t="shared" si="54"/>
        <v>37.1</v>
      </c>
      <c r="K449" s="709">
        <f t="shared" si="56"/>
        <v>9035.4790563323168</v>
      </c>
      <c r="L449" s="626">
        <v>7850</v>
      </c>
      <c r="M449" s="626"/>
      <c r="O449" s="704"/>
      <c r="P449" s="704"/>
      <c r="Q449" s="704"/>
      <c r="S449" s="704">
        <f t="shared" si="58"/>
        <v>274750</v>
      </c>
      <c r="T449" s="903">
        <f t="shared" si="59"/>
        <v>316241.76697163109</v>
      </c>
    </row>
    <row r="450" spans="1:20" ht="17.25" customHeight="1">
      <c r="A450" s="741">
        <f t="shared" si="55"/>
        <v>279</v>
      </c>
      <c r="B450" s="291" t="s">
        <v>1075</v>
      </c>
      <c r="C450" s="724">
        <v>42522</v>
      </c>
      <c r="D450" s="725" t="s">
        <v>605</v>
      </c>
      <c r="E450" s="807">
        <v>42</v>
      </c>
      <c r="F450" s="808">
        <v>42</v>
      </c>
      <c r="G450" s="808">
        <v>26</v>
      </c>
      <c r="H450" s="798">
        <f t="shared" si="57"/>
        <v>1.23</v>
      </c>
      <c r="I450" s="257">
        <v>24</v>
      </c>
      <c r="J450" s="709">
        <f t="shared" si="54"/>
        <v>29.52</v>
      </c>
      <c r="K450" s="709">
        <f t="shared" si="56"/>
        <v>10484.565320083726</v>
      </c>
      <c r="L450" s="626">
        <v>8940</v>
      </c>
      <c r="M450" s="626"/>
      <c r="O450" s="704"/>
      <c r="P450" s="704"/>
      <c r="Q450" s="704"/>
      <c r="S450" s="704">
        <f t="shared" si="58"/>
        <v>214560</v>
      </c>
      <c r="T450" s="903">
        <f t="shared" si="59"/>
        <v>251629.56768200942</v>
      </c>
    </row>
    <row r="451" spans="1:20" ht="17.25" customHeight="1">
      <c r="A451" s="741">
        <f t="shared" si="55"/>
        <v>280</v>
      </c>
      <c r="B451" s="291" t="s">
        <v>964</v>
      </c>
      <c r="C451" s="724">
        <v>42522</v>
      </c>
      <c r="D451" s="725" t="s">
        <v>605</v>
      </c>
      <c r="E451" s="807">
        <v>48</v>
      </c>
      <c r="F451" s="808">
        <v>42</v>
      </c>
      <c r="G451" s="808">
        <v>31</v>
      </c>
      <c r="H451" s="798">
        <f t="shared" si="57"/>
        <v>1.41</v>
      </c>
      <c r="I451" s="257">
        <v>13</v>
      </c>
      <c r="J451" s="709">
        <f t="shared" si="54"/>
        <v>18.329999999999998</v>
      </c>
      <c r="K451" s="709">
        <f t="shared" si="56"/>
        <v>12018.8919522911</v>
      </c>
      <c r="L451" s="626">
        <v>14500</v>
      </c>
      <c r="M451" s="626"/>
      <c r="O451" s="704"/>
      <c r="P451" s="704"/>
      <c r="Q451" s="704"/>
      <c r="S451" s="704">
        <f t="shared" si="58"/>
        <v>188500</v>
      </c>
      <c r="T451" s="903">
        <f t="shared" si="59"/>
        <v>156245.5953797843</v>
      </c>
    </row>
    <row r="452" spans="1:20" ht="17.25" customHeight="1">
      <c r="A452" s="741">
        <f t="shared" si="55"/>
        <v>281</v>
      </c>
      <c r="B452" s="291" t="s">
        <v>1076</v>
      </c>
      <c r="C452" s="724">
        <v>42522</v>
      </c>
      <c r="D452" s="725" t="s">
        <v>605</v>
      </c>
      <c r="E452" s="807">
        <v>46</v>
      </c>
      <c r="F452" s="808">
        <v>40</v>
      </c>
      <c r="G452" s="808">
        <v>27</v>
      </c>
      <c r="H452" s="798">
        <f t="shared" si="57"/>
        <v>1.24</v>
      </c>
      <c r="I452" s="257">
        <v>90</v>
      </c>
      <c r="J452" s="709">
        <f t="shared" si="54"/>
        <v>111.6</v>
      </c>
      <c r="K452" s="709">
        <f t="shared" si="56"/>
        <v>10569.805688539691</v>
      </c>
      <c r="L452" s="626">
        <v>9010</v>
      </c>
      <c r="M452" s="626"/>
      <c r="O452" s="704"/>
      <c r="P452" s="704"/>
      <c r="Q452" s="704"/>
      <c r="S452" s="704">
        <f t="shared" si="58"/>
        <v>810900</v>
      </c>
      <c r="T452" s="903">
        <f t="shared" si="59"/>
        <v>951282.51196857216</v>
      </c>
    </row>
    <row r="453" spans="1:20" ht="17.25" customHeight="1">
      <c r="A453" s="741">
        <f t="shared" si="55"/>
        <v>282</v>
      </c>
      <c r="B453" s="291" t="s">
        <v>1077</v>
      </c>
      <c r="C453" s="724">
        <v>42522</v>
      </c>
      <c r="D453" s="725" t="s">
        <v>605</v>
      </c>
      <c r="E453" s="807">
        <v>39</v>
      </c>
      <c r="F453" s="808">
        <v>29</v>
      </c>
      <c r="G453" s="808">
        <v>26</v>
      </c>
      <c r="H453" s="798">
        <f t="shared" si="57"/>
        <v>0.82</v>
      </c>
      <c r="I453" s="257">
        <v>24</v>
      </c>
      <c r="J453" s="709">
        <f t="shared" si="54"/>
        <v>19.68</v>
      </c>
      <c r="K453" s="709">
        <f t="shared" si="56"/>
        <v>6989.7102133891503</v>
      </c>
      <c r="L453" s="626">
        <v>6400</v>
      </c>
      <c r="M453" s="626"/>
      <c r="O453" s="704"/>
      <c r="P453" s="704"/>
      <c r="Q453" s="704"/>
      <c r="S453" s="704">
        <f t="shared" si="58"/>
        <v>153600</v>
      </c>
      <c r="T453" s="903">
        <f t="shared" si="59"/>
        <v>167753.04512133962</v>
      </c>
    </row>
    <row r="454" spans="1:20" ht="17.25" customHeight="1">
      <c r="A454" s="741">
        <f t="shared" si="55"/>
        <v>283</v>
      </c>
      <c r="B454" s="291" t="s">
        <v>1078</v>
      </c>
      <c r="C454" s="724">
        <v>42522</v>
      </c>
      <c r="D454" s="725" t="s">
        <v>605</v>
      </c>
      <c r="E454" s="807">
        <v>47</v>
      </c>
      <c r="F454" s="808">
        <v>42</v>
      </c>
      <c r="G454" s="808">
        <v>31</v>
      </c>
      <c r="H454" s="798">
        <f t="shared" si="57"/>
        <v>1.39</v>
      </c>
      <c r="I454" s="257">
        <v>90</v>
      </c>
      <c r="J454" s="709">
        <f t="shared" si="54"/>
        <v>125.1</v>
      </c>
      <c r="K454" s="709">
        <f t="shared" si="56"/>
        <v>11848.41121537917</v>
      </c>
      <c r="L454" s="626">
        <v>9970</v>
      </c>
      <c r="M454" s="626"/>
      <c r="O454" s="704"/>
      <c r="P454" s="704"/>
      <c r="Q454" s="704"/>
      <c r="S454" s="704">
        <f t="shared" si="58"/>
        <v>897300</v>
      </c>
      <c r="T454" s="903">
        <f t="shared" si="59"/>
        <v>1066357.0093841252</v>
      </c>
    </row>
    <row r="455" spans="1:20" ht="17.25" customHeight="1">
      <c r="A455" s="741">
        <f t="shared" si="55"/>
        <v>284</v>
      </c>
      <c r="B455" s="291" t="s">
        <v>1079</v>
      </c>
      <c r="C455" s="724">
        <v>42522</v>
      </c>
      <c r="D455" s="725" t="s">
        <v>605</v>
      </c>
      <c r="E455" s="807">
        <v>43</v>
      </c>
      <c r="F455" s="808">
        <v>39</v>
      </c>
      <c r="G455" s="808">
        <v>27</v>
      </c>
      <c r="H455" s="798">
        <f t="shared" si="57"/>
        <v>1.17</v>
      </c>
      <c r="I455" s="257">
        <v>55</v>
      </c>
      <c r="J455" s="709">
        <f t="shared" si="54"/>
        <v>64.349999999999994</v>
      </c>
      <c r="K455" s="709">
        <f t="shared" si="56"/>
        <v>9973.1231093479346</v>
      </c>
      <c r="L455" s="626">
        <v>12200</v>
      </c>
      <c r="M455" s="626"/>
      <c r="O455" s="704"/>
      <c r="P455" s="704"/>
      <c r="Q455" s="704"/>
      <c r="S455" s="704">
        <f t="shared" si="58"/>
        <v>671000</v>
      </c>
      <c r="T455" s="903">
        <f t="shared" si="59"/>
        <v>548521.77101413638</v>
      </c>
    </row>
    <row r="456" spans="1:20" ht="17.25" customHeight="1">
      <c r="A456" s="741">
        <f t="shared" si="55"/>
        <v>285</v>
      </c>
      <c r="B456" s="291" t="s">
        <v>1080</v>
      </c>
      <c r="C456" s="724">
        <v>42522</v>
      </c>
      <c r="D456" s="725" t="s">
        <v>605</v>
      </c>
      <c r="E456" s="807">
        <v>53</v>
      </c>
      <c r="F456" s="808">
        <v>48</v>
      </c>
      <c r="G456" s="808">
        <v>27</v>
      </c>
      <c r="H456" s="798">
        <f t="shared" si="57"/>
        <v>1.61</v>
      </c>
      <c r="I456" s="257">
        <v>210</v>
      </c>
      <c r="J456" s="709">
        <f t="shared" si="54"/>
        <v>338.1</v>
      </c>
      <c r="K456" s="709">
        <f t="shared" si="56"/>
        <v>13723.699321410406</v>
      </c>
      <c r="L456" s="626">
        <v>16500</v>
      </c>
      <c r="M456" s="626"/>
      <c r="O456" s="704"/>
      <c r="P456" s="704"/>
      <c r="Q456" s="704"/>
      <c r="S456" s="704">
        <f t="shared" si="58"/>
        <v>3465000</v>
      </c>
      <c r="T456" s="903">
        <f t="shared" si="59"/>
        <v>2881976.8574961852</v>
      </c>
    </row>
    <row r="457" spans="1:20" ht="17.25" customHeight="1">
      <c r="A457" s="741">
        <f t="shared" si="55"/>
        <v>286</v>
      </c>
      <c r="B457" s="291" t="s">
        <v>1081</v>
      </c>
      <c r="C457" s="724">
        <v>42522</v>
      </c>
      <c r="D457" s="725" t="s">
        <v>606</v>
      </c>
      <c r="E457" s="807">
        <v>43</v>
      </c>
      <c r="F457" s="808">
        <v>38</v>
      </c>
      <c r="G457" s="808">
        <v>25</v>
      </c>
      <c r="H457" s="798">
        <f t="shared" si="57"/>
        <v>1.1000000000000001</v>
      </c>
      <c r="I457" s="257">
        <v>210</v>
      </c>
      <c r="J457" s="709">
        <f t="shared" si="54"/>
        <v>231.00000000000003</v>
      </c>
      <c r="K457" s="709">
        <f t="shared" si="56"/>
        <v>9376.4405301561783</v>
      </c>
      <c r="L457" s="626">
        <v>8200</v>
      </c>
      <c r="M457" s="626"/>
      <c r="O457" s="704"/>
      <c r="P457" s="704"/>
      <c r="Q457" s="704"/>
      <c r="S457" s="704">
        <f t="shared" si="58"/>
        <v>1722000</v>
      </c>
      <c r="T457" s="903">
        <f t="shared" si="59"/>
        <v>1969052.5113327974</v>
      </c>
    </row>
    <row r="458" spans="1:20" ht="17.25" customHeight="1">
      <c r="A458" s="741">
        <f t="shared" si="55"/>
        <v>287</v>
      </c>
      <c r="B458" s="291" t="s">
        <v>504</v>
      </c>
      <c r="C458" s="724">
        <v>42522</v>
      </c>
      <c r="D458" s="725" t="s">
        <v>606</v>
      </c>
      <c r="E458" s="807">
        <v>47</v>
      </c>
      <c r="F458" s="808">
        <v>42</v>
      </c>
      <c r="G458" s="808">
        <v>25</v>
      </c>
      <c r="H458" s="798">
        <f t="shared" si="57"/>
        <v>1.28</v>
      </c>
      <c r="I458" s="257">
        <v>204</v>
      </c>
      <c r="J458" s="709">
        <f t="shared" si="54"/>
        <v>261.12</v>
      </c>
      <c r="K458" s="709">
        <f t="shared" si="56"/>
        <v>10910.767162363552</v>
      </c>
      <c r="L458" s="626">
        <v>9270</v>
      </c>
      <c r="M458" s="626"/>
      <c r="O458" s="704"/>
      <c r="P458" s="704"/>
      <c r="Q458" s="704"/>
      <c r="S458" s="704">
        <f t="shared" si="58"/>
        <v>1891080</v>
      </c>
      <c r="T458" s="903">
        <f t="shared" si="59"/>
        <v>2225796.5011221645</v>
      </c>
    </row>
    <row r="459" spans="1:20" ht="17.25" customHeight="1">
      <c r="A459" s="741">
        <f t="shared" si="55"/>
        <v>288</v>
      </c>
      <c r="B459" s="291" t="s">
        <v>468</v>
      </c>
      <c r="C459" s="724">
        <v>42522</v>
      </c>
      <c r="D459" s="725" t="s">
        <v>607</v>
      </c>
      <c r="E459" s="807">
        <v>32.5</v>
      </c>
      <c r="F459" s="759">
        <v>32.5</v>
      </c>
      <c r="G459" s="759">
        <v>16</v>
      </c>
      <c r="H459" s="798">
        <f t="shared" si="57"/>
        <v>0.7</v>
      </c>
      <c r="I459" s="257">
        <v>220</v>
      </c>
      <c r="J459" s="709">
        <f t="shared" si="54"/>
        <v>154</v>
      </c>
      <c r="K459" s="709">
        <f t="shared" si="56"/>
        <v>5966.8257919175676</v>
      </c>
      <c r="L459" s="715">
        <v>7000</v>
      </c>
      <c r="M459" s="626"/>
      <c r="O459" s="704"/>
      <c r="P459" s="704"/>
      <c r="Q459" s="704"/>
      <c r="S459" s="704">
        <f t="shared" si="58"/>
        <v>1540000</v>
      </c>
      <c r="T459" s="903">
        <f t="shared" si="59"/>
        <v>1312701.6742218649</v>
      </c>
    </row>
    <row r="460" spans="1:20" ht="17.25" customHeight="1">
      <c r="A460" s="741">
        <f t="shared" si="55"/>
        <v>289</v>
      </c>
      <c r="B460" s="291" t="s">
        <v>444</v>
      </c>
      <c r="C460" s="724">
        <v>42527</v>
      </c>
      <c r="D460" s="725" t="s">
        <v>608</v>
      </c>
      <c r="E460" s="807">
        <v>52</v>
      </c>
      <c r="F460" s="808">
        <v>26.5</v>
      </c>
      <c r="G460" s="808">
        <v>26.5</v>
      </c>
      <c r="H460" s="798">
        <f t="shared" si="57"/>
        <v>0.91</v>
      </c>
      <c r="I460" s="257">
        <v>780</v>
      </c>
      <c r="J460" s="709">
        <f t="shared" si="54"/>
        <v>709.80000000000007</v>
      </c>
      <c r="K460" s="709">
        <f t="shared" si="56"/>
        <v>7756.8735294928383</v>
      </c>
      <c r="L460" s="626">
        <v>5550</v>
      </c>
      <c r="M460" s="626"/>
      <c r="O460" s="704"/>
      <c r="P460" s="704"/>
      <c r="Q460" s="704"/>
      <c r="S460" s="704">
        <f t="shared" si="58"/>
        <v>4329000</v>
      </c>
      <c r="T460" s="903">
        <f t="shared" si="59"/>
        <v>6050361.3530044137</v>
      </c>
    </row>
    <row r="461" spans="1:20" ht="17.25" customHeight="1">
      <c r="A461" s="741">
        <f t="shared" si="55"/>
        <v>290</v>
      </c>
      <c r="B461" s="291" t="s">
        <v>676</v>
      </c>
      <c r="C461" s="724">
        <v>42527</v>
      </c>
      <c r="D461" s="725" t="s">
        <v>609</v>
      </c>
      <c r="E461" s="807">
        <v>33.5</v>
      </c>
      <c r="F461" s="808">
        <v>31.5</v>
      </c>
      <c r="G461" s="808">
        <v>24</v>
      </c>
      <c r="H461" s="798">
        <f t="shared" si="57"/>
        <v>0.79</v>
      </c>
      <c r="I461" s="257">
        <v>2000</v>
      </c>
      <c r="J461" s="709">
        <f t="shared" si="54"/>
        <v>1580</v>
      </c>
      <c r="K461" s="709">
        <f t="shared" si="56"/>
        <v>6733.9891080212556</v>
      </c>
      <c r="L461" s="626">
        <v>6950</v>
      </c>
      <c r="M461" s="626"/>
      <c r="O461" s="704"/>
      <c r="P461" s="704"/>
      <c r="Q461" s="704"/>
      <c r="S461" s="704">
        <f t="shared" si="58"/>
        <v>13900000</v>
      </c>
      <c r="T461" s="903">
        <f t="shared" si="59"/>
        <v>13467978.216042511</v>
      </c>
    </row>
    <row r="462" spans="1:20" ht="17.25" customHeight="1">
      <c r="A462" s="741">
        <f t="shared" si="55"/>
        <v>291</v>
      </c>
      <c r="B462" s="291" t="s">
        <v>466</v>
      </c>
      <c r="C462" s="724">
        <v>42527</v>
      </c>
      <c r="D462" s="725" t="s">
        <v>1082</v>
      </c>
      <c r="E462" s="807">
        <v>37.5</v>
      </c>
      <c r="F462" s="759">
        <v>25.3</v>
      </c>
      <c r="G462" s="759">
        <v>23.9</v>
      </c>
      <c r="H462" s="798">
        <f t="shared" si="57"/>
        <v>0.68</v>
      </c>
      <c r="I462" s="257">
        <v>517</v>
      </c>
      <c r="J462" s="709">
        <f t="shared" si="54"/>
        <v>351.56</v>
      </c>
      <c r="K462" s="709">
        <f t="shared" si="56"/>
        <v>5796.3450550056377</v>
      </c>
      <c r="L462" s="715">
        <v>5900</v>
      </c>
      <c r="M462" s="626"/>
      <c r="O462" s="704"/>
      <c r="P462" s="704"/>
      <c r="Q462" s="704"/>
      <c r="S462" s="704">
        <f t="shared" si="58"/>
        <v>3050300</v>
      </c>
      <c r="T462" s="903">
        <f t="shared" si="59"/>
        <v>2996710.3934379146</v>
      </c>
    </row>
    <row r="463" spans="1:20" ht="17.25" customHeight="1">
      <c r="A463" s="741">
        <f t="shared" si="55"/>
        <v>292</v>
      </c>
      <c r="B463" s="291" t="s">
        <v>657</v>
      </c>
      <c r="C463" s="724">
        <v>42528</v>
      </c>
      <c r="D463" s="725" t="s">
        <v>610</v>
      </c>
      <c r="E463" s="807">
        <v>40</v>
      </c>
      <c r="F463" s="759">
        <v>30</v>
      </c>
      <c r="G463" s="759">
        <v>18.5</v>
      </c>
      <c r="H463" s="798">
        <f t="shared" si="57"/>
        <v>0.75</v>
      </c>
      <c r="I463" s="257">
        <v>308</v>
      </c>
      <c r="J463" s="709">
        <f t="shared" si="54"/>
        <v>231</v>
      </c>
      <c r="K463" s="709">
        <f t="shared" si="56"/>
        <v>6393.027634197394</v>
      </c>
      <c r="L463" s="715">
        <v>8800</v>
      </c>
      <c r="M463" s="626"/>
      <c r="O463" s="704"/>
      <c r="P463" s="704"/>
      <c r="Q463" s="704"/>
      <c r="S463" s="704">
        <f t="shared" si="58"/>
        <v>2710400</v>
      </c>
      <c r="T463" s="903">
        <f t="shared" si="59"/>
        <v>1969052.5113327974</v>
      </c>
    </row>
    <row r="464" spans="1:20" ht="17.25" customHeight="1">
      <c r="A464" s="741">
        <f t="shared" si="55"/>
        <v>293</v>
      </c>
      <c r="B464" s="291" t="s">
        <v>430</v>
      </c>
      <c r="C464" s="724">
        <v>42528</v>
      </c>
      <c r="D464" s="725" t="s">
        <v>610</v>
      </c>
      <c r="E464" s="807">
        <v>49</v>
      </c>
      <c r="F464" s="759">
        <v>38</v>
      </c>
      <c r="G464" s="759">
        <v>12</v>
      </c>
      <c r="H464" s="798">
        <f t="shared" si="57"/>
        <v>0.95</v>
      </c>
      <c r="I464" s="257">
        <v>308</v>
      </c>
      <c r="J464" s="709">
        <f t="shared" si="54"/>
        <v>292.59999999999997</v>
      </c>
      <c r="K464" s="709">
        <f t="shared" si="56"/>
        <v>8097.8350033166989</v>
      </c>
      <c r="L464" s="715">
        <v>10000</v>
      </c>
      <c r="M464" s="626"/>
      <c r="O464" s="704"/>
      <c r="P464" s="704"/>
      <c r="Q464" s="704"/>
      <c r="S464" s="704">
        <f t="shared" si="58"/>
        <v>3080000</v>
      </c>
      <c r="T464" s="903">
        <f t="shared" si="59"/>
        <v>2494133.1810215432</v>
      </c>
    </row>
    <row r="465" spans="1:20" ht="17.25" customHeight="1">
      <c r="A465" s="741">
        <f t="shared" si="55"/>
        <v>294</v>
      </c>
      <c r="B465" s="291" t="s">
        <v>466</v>
      </c>
      <c r="C465" s="724">
        <v>42529</v>
      </c>
      <c r="D465" s="725" t="s">
        <v>611</v>
      </c>
      <c r="E465" s="807">
        <v>37.5</v>
      </c>
      <c r="F465" s="808">
        <v>25.3</v>
      </c>
      <c r="G465" s="808">
        <v>23.9</v>
      </c>
      <c r="H465" s="798">
        <f t="shared" si="57"/>
        <v>0.68</v>
      </c>
      <c r="I465" s="257">
        <v>1023</v>
      </c>
      <c r="J465" s="709">
        <f t="shared" si="54"/>
        <v>695.6400000000001</v>
      </c>
      <c r="K465" s="709">
        <f t="shared" si="56"/>
        <v>5796.3450550056377</v>
      </c>
      <c r="L465" s="626">
        <v>5900</v>
      </c>
      <c r="M465" s="626"/>
      <c r="O465" s="704"/>
      <c r="P465" s="704"/>
      <c r="Q465" s="704"/>
      <c r="S465" s="704">
        <f t="shared" si="58"/>
        <v>6035700</v>
      </c>
      <c r="T465" s="903">
        <f t="shared" si="59"/>
        <v>5929660.9912707675</v>
      </c>
    </row>
    <row r="466" spans="1:20" ht="17.25" customHeight="1">
      <c r="A466" s="741">
        <f t="shared" si="55"/>
        <v>295</v>
      </c>
      <c r="B466" s="291" t="s">
        <v>1083</v>
      </c>
      <c r="C466" s="724">
        <v>42530</v>
      </c>
      <c r="D466" s="725" t="s">
        <v>612</v>
      </c>
      <c r="E466" s="807">
        <v>45</v>
      </c>
      <c r="F466" s="808">
        <v>37</v>
      </c>
      <c r="G466" s="808">
        <v>37.5</v>
      </c>
      <c r="H466" s="798">
        <f t="shared" si="57"/>
        <v>1.31</v>
      </c>
      <c r="I466" s="257">
        <v>1010</v>
      </c>
      <c r="J466" s="709">
        <f t="shared" si="54"/>
        <v>1323.1000000000001</v>
      </c>
      <c r="K466" s="709">
        <f t="shared" si="56"/>
        <v>11166.488267731449</v>
      </c>
      <c r="L466" s="626">
        <v>13800</v>
      </c>
      <c r="M466" s="626"/>
      <c r="O466" s="704"/>
      <c r="P466" s="704"/>
      <c r="Q466" s="704"/>
      <c r="S466" s="704">
        <f t="shared" si="58"/>
        <v>13938000</v>
      </c>
      <c r="T466" s="903">
        <f t="shared" si="59"/>
        <v>11278153.150408763</v>
      </c>
    </row>
    <row r="467" spans="1:20" ht="17.25" customHeight="1">
      <c r="A467" s="741">
        <f t="shared" si="55"/>
        <v>296</v>
      </c>
      <c r="B467" s="291" t="s">
        <v>675</v>
      </c>
      <c r="C467" s="724">
        <v>42530</v>
      </c>
      <c r="D467" s="725" t="s">
        <v>612</v>
      </c>
      <c r="E467" s="807">
        <v>45</v>
      </c>
      <c r="F467" s="808">
        <v>37</v>
      </c>
      <c r="G467" s="808">
        <v>37.5</v>
      </c>
      <c r="H467" s="798">
        <f t="shared" si="57"/>
        <v>1.31</v>
      </c>
      <c r="I467" s="257">
        <v>50</v>
      </c>
      <c r="J467" s="709">
        <f t="shared" si="54"/>
        <v>65.5</v>
      </c>
      <c r="K467" s="709">
        <f t="shared" si="56"/>
        <v>11166.488267731449</v>
      </c>
      <c r="L467" s="626">
        <v>13400</v>
      </c>
      <c r="M467" s="626"/>
      <c r="O467" s="704"/>
      <c r="P467" s="704"/>
      <c r="Q467" s="704"/>
      <c r="S467" s="704">
        <f t="shared" si="58"/>
        <v>670000</v>
      </c>
      <c r="T467" s="903">
        <f t="shared" si="59"/>
        <v>558324.4133865725</v>
      </c>
    </row>
    <row r="468" spans="1:20" ht="17.25" customHeight="1">
      <c r="A468" s="741">
        <f t="shared" si="55"/>
        <v>297</v>
      </c>
      <c r="B468" s="291" t="s">
        <v>723</v>
      </c>
      <c r="C468" s="724">
        <v>42530</v>
      </c>
      <c r="D468" s="725" t="s">
        <v>612</v>
      </c>
      <c r="E468" s="807">
        <v>44</v>
      </c>
      <c r="F468" s="808">
        <v>20</v>
      </c>
      <c r="G468" s="808"/>
      <c r="H468" s="798">
        <f t="shared" si="57"/>
        <v>0.09</v>
      </c>
      <c r="I468" s="257">
        <v>2120</v>
      </c>
      <c r="J468" s="709">
        <f t="shared" si="54"/>
        <v>190.79999999999998</v>
      </c>
      <c r="K468" s="709">
        <f t="shared" si="56"/>
        <v>767.16331610368729</v>
      </c>
      <c r="L468" s="626">
        <v>1300</v>
      </c>
      <c r="M468" s="626"/>
      <c r="O468" s="704"/>
      <c r="P468" s="704"/>
      <c r="Q468" s="704"/>
      <c r="S468" s="704">
        <f t="shared" si="58"/>
        <v>2756000</v>
      </c>
      <c r="T468" s="903">
        <f t="shared" si="59"/>
        <v>1626386.2301398171</v>
      </c>
    </row>
    <row r="469" spans="1:20" ht="17.25" customHeight="1">
      <c r="A469" s="741">
        <f t="shared" si="55"/>
        <v>298</v>
      </c>
      <c r="B469" s="291" t="s">
        <v>1060</v>
      </c>
      <c r="C469" s="724">
        <v>42530</v>
      </c>
      <c r="D469" s="725" t="s">
        <v>613</v>
      </c>
      <c r="E469" s="807">
        <v>23.5</v>
      </c>
      <c r="F469" s="808">
        <v>23.5</v>
      </c>
      <c r="G469" s="808">
        <v>30.5</v>
      </c>
      <c r="H469" s="798">
        <f t="shared" si="57"/>
        <v>0.56000000000000005</v>
      </c>
      <c r="I469" s="257">
        <v>490</v>
      </c>
      <c r="J469" s="709">
        <f t="shared" ref="J469:J523" si="60">H469*I469</f>
        <v>274.40000000000003</v>
      </c>
      <c r="K469" s="709">
        <f t="shared" si="56"/>
        <v>4773.460633534055</v>
      </c>
      <c r="L469" s="626">
        <v>6700</v>
      </c>
      <c r="M469" s="626"/>
      <c r="O469" s="704"/>
      <c r="P469" s="704"/>
      <c r="Q469" s="704"/>
      <c r="S469" s="704">
        <f t="shared" si="58"/>
        <v>3283000</v>
      </c>
      <c r="T469" s="903">
        <f t="shared" si="59"/>
        <v>2338995.7104316871</v>
      </c>
    </row>
    <row r="470" spans="1:20" ht="17.25" customHeight="1">
      <c r="A470" s="741">
        <f t="shared" si="55"/>
        <v>299</v>
      </c>
      <c r="B470" s="291" t="s">
        <v>1085</v>
      </c>
      <c r="C470" s="724">
        <v>42530</v>
      </c>
      <c r="D470" s="725" t="s">
        <v>613</v>
      </c>
      <c r="E470" s="807">
        <v>52.5</v>
      </c>
      <c r="F470" s="808">
        <v>29.5</v>
      </c>
      <c r="G470" s="808">
        <v>8.5</v>
      </c>
      <c r="H470" s="798">
        <f t="shared" si="57"/>
        <v>0.69</v>
      </c>
      <c r="I470" s="257">
        <v>510</v>
      </c>
      <c r="J470" s="709">
        <f t="shared" si="60"/>
        <v>351.9</v>
      </c>
      <c r="K470" s="709">
        <f t="shared" si="56"/>
        <v>5881.5854234616017</v>
      </c>
      <c r="L470" s="626">
        <v>7700</v>
      </c>
      <c r="M470" s="626"/>
      <c r="O470" s="704"/>
      <c r="P470" s="704"/>
      <c r="Q470" s="704"/>
      <c r="S470" s="704">
        <f t="shared" si="58"/>
        <v>3927000</v>
      </c>
      <c r="T470" s="903">
        <f t="shared" si="59"/>
        <v>2999608.5659654168</v>
      </c>
    </row>
    <row r="471" spans="1:20" ht="17.25" customHeight="1">
      <c r="A471" s="741">
        <f t="shared" si="55"/>
        <v>300</v>
      </c>
      <c r="B471" s="291" t="s">
        <v>466</v>
      </c>
      <c r="C471" s="724">
        <v>42535</v>
      </c>
      <c r="D471" s="725" t="s">
        <v>614</v>
      </c>
      <c r="E471" s="807">
        <v>37.5</v>
      </c>
      <c r="F471" s="808">
        <v>25.3</v>
      </c>
      <c r="G471" s="808">
        <v>23.9</v>
      </c>
      <c r="H471" s="798">
        <f t="shared" si="57"/>
        <v>0.68</v>
      </c>
      <c r="I471" s="257">
        <v>402</v>
      </c>
      <c r="J471" s="709">
        <f t="shared" si="60"/>
        <v>273.36</v>
      </c>
      <c r="K471" s="709">
        <f t="shared" si="56"/>
        <v>5796.3450550056377</v>
      </c>
      <c r="L471" s="626">
        <v>7300</v>
      </c>
      <c r="M471" s="626"/>
      <c r="O471" s="704"/>
      <c r="P471" s="704"/>
      <c r="Q471" s="704"/>
      <c r="S471" s="704">
        <f t="shared" si="58"/>
        <v>2934600</v>
      </c>
      <c r="T471" s="903">
        <f t="shared" si="59"/>
        <v>2330130.7121122666</v>
      </c>
    </row>
    <row r="472" spans="1:20" ht="17.25" customHeight="1">
      <c r="A472" s="741">
        <f t="shared" si="55"/>
        <v>301</v>
      </c>
      <c r="B472" s="291" t="s">
        <v>542</v>
      </c>
      <c r="C472" s="724">
        <v>42535</v>
      </c>
      <c r="D472" s="725" t="s">
        <v>614</v>
      </c>
      <c r="E472" s="807">
        <v>33.700000000000003</v>
      </c>
      <c r="F472" s="808">
        <v>22.7</v>
      </c>
      <c r="G472" s="808">
        <v>19.3</v>
      </c>
      <c r="H472" s="798">
        <f t="shared" si="57"/>
        <v>0.53</v>
      </c>
      <c r="I472" s="257">
        <v>317</v>
      </c>
      <c r="J472" s="709">
        <f t="shared" si="60"/>
        <v>168.01000000000002</v>
      </c>
      <c r="K472" s="709">
        <f t="shared" si="56"/>
        <v>4517.7395281661584</v>
      </c>
      <c r="L472" s="626">
        <v>4900</v>
      </c>
      <c r="M472" s="626"/>
      <c r="O472" s="704"/>
      <c r="P472" s="704"/>
      <c r="Q472" s="704"/>
      <c r="S472" s="704">
        <f t="shared" si="58"/>
        <v>1553300</v>
      </c>
      <c r="T472" s="903">
        <f t="shared" si="59"/>
        <v>1432123.4304286721</v>
      </c>
    </row>
    <row r="473" spans="1:20" ht="17.25" customHeight="1">
      <c r="A473" s="741">
        <f t="shared" ref="A473:A523" si="61">IF(B473&lt;&gt;"",ROW()-171,"")</f>
        <v>302</v>
      </c>
      <c r="B473" s="291" t="s">
        <v>1474</v>
      </c>
      <c r="C473" s="724">
        <v>42536</v>
      </c>
      <c r="D473" s="725" t="s">
        <v>615</v>
      </c>
      <c r="E473" s="807">
        <v>49</v>
      </c>
      <c r="F473" s="808">
        <v>38</v>
      </c>
      <c r="G473" s="808">
        <v>12</v>
      </c>
      <c r="H473" s="798">
        <f t="shared" si="57"/>
        <v>0.95</v>
      </c>
      <c r="I473" s="257">
        <v>300</v>
      </c>
      <c r="J473" s="709">
        <f t="shared" si="60"/>
        <v>285</v>
      </c>
      <c r="K473" s="709">
        <f t="shared" ref="K473:K523" si="62">H473*$R$311</f>
        <v>8097.8350033166989</v>
      </c>
      <c r="L473" s="626">
        <v>10500</v>
      </c>
      <c r="M473" s="626"/>
      <c r="O473" s="704"/>
      <c r="P473" s="704"/>
      <c r="Q473" s="704"/>
      <c r="S473" s="704">
        <f t="shared" si="58"/>
        <v>3150000</v>
      </c>
      <c r="T473" s="903">
        <f t="shared" si="59"/>
        <v>2429350.5009950097</v>
      </c>
    </row>
    <row r="474" spans="1:20" ht="17.25" customHeight="1">
      <c r="A474" s="741">
        <f t="shared" si="61"/>
        <v>303</v>
      </c>
      <c r="B474" s="291" t="s">
        <v>510</v>
      </c>
      <c r="C474" s="724">
        <v>42539</v>
      </c>
      <c r="D474" s="725" t="s">
        <v>616</v>
      </c>
      <c r="E474" s="807">
        <v>47</v>
      </c>
      <c r="F474" s="808">
        <v>42</v>
      </c>
      <c r="G474" s="808">
        <v>24.5</v>
      </c>
      <c r="H474" s="798">
        <f t="shared" ref="H474:H523" si="63">IF(G474&lt;&gt;"",ROUND(((E474+F474)*2+5)*(F474+G474+3)/10000,2),ROUND(E474*F474/10000,2))</f>
        <v>1.27</v>
      </c>
      <c r="I474" s="257">
        <v>237</v>
      </c>
      <c r="J474" s="709">
        <f t="shared" si="60"/>
        <v>300.99</v>
      </c>
      <c r="K474" s="709">
        <f t="shared" si="62"/>
        <v>10825.526793907587</v>
      </c>
      <c r="L474" s="626">
        <v>9270</v>
      </c>
      <c r="M474" s="626"/>
      <c r="O474" s="704"/>
      <c r="P474" s="704"/>
      <c r="Q474" s="704"/>
      <c r="S474" s="704">
        <f t="shared" ref="S474:S523" si="64">I474*L474</f>
        <v>2196990</v>
      </c>
      <c r="T474" s="903">
        <f t="shared" ref="T474:T523" si="65">I474*K474</f>
        <v>2565649.8501560981</v>
      </c>
    </row>
    <row r="475" spans="1:20" ht="17.25" customHeight="1">
      <c r="A475" s="741">
        <f t="shared" si="61"/>
        <v>304</v>
      </c>
      <c r="B475" s="291" t="s">
        <v>503</v>
      </c>
      <c r="C475" s="724">
        <v>42539</v>
      </c>
      <c r="D475" s="725" t="s">
        <v>616</v>
      </c>
      <c r="E475" s="807">
        <v>37</v>
      </c>
      <c r="F475" s="808">
        <v>37</v>
      </c>
      <c r="G475" s="808">
        <v>25</v>
      </c>
      <c r="H475" s="798">
        <f t="shared" si="63"/>
        <v>0.99</v>
      </c>
      <c r="I475" s="257">
        <v>51</v>
      </c>
      <c r="J475" s="709">
        <f t="shared" si="60"/>
        <v>50.49</v>
      </c>
      <c r="K475" s="709">
        <f t="shared" si="62"/>
        <v>8438.7964771405605</v>
      </c>
      <c r="L475" s="626">
        <v>7600</v>
      </c>
      <c r="M475" s="626"/>
      <c r="O475" s="704"/>
      <c r="P475" s="704"/>
      <c r="Q475" s="704"/>
      <c r="S475" s="704">
        <f t="shared" si="64"/>
        <v>387600</v>
      </c>
      <c r="T475" s="903">
        <f t="shared" si="65"/>
        <v>430378.62033416861</v>
      </c>
    </row>
    <row r="476" spans="1:20" ht="17.25" customHeight="1">
      <c r="A476" s="741">
        <f t="shared" si="61"/>
        <v>305</v>
      </c>
      <c r="B476" s="291" t="s">
        <v>1079</v>
      </c>
      <c r="C476" s="724">
        <v>42539</v>
      </c>
      <c r="D476" s="725" t="s">
        <v>616</v>
      </c>
      <c r="E476" s="807">
        <v>43</v>
      </c>
      <c r="F476" s="808">
        <v>39</v>
      </c>
      <c r="G476" s="808">
        <v>27</v>
      </c>
      <c r="H476" s="798">
        <f t="shared" si="63"/>
        <v>1.17</v>
      </c>
      <c r="I476" s="257">
        <v>55</v>
      </c>
      <c r="J476" s="709">
        <f t="shared" si="60"/>
        <v>64.349999999999994</v>
      </c>
      <c r="K476" s="709">
        <f t="shared" si="62"/>
        <v>9973.1231093479346</v>
      </c>
      <c r="L476" s="626">
        <v>12400</v>
      </c>
      <c r="M476" s="626"/>
      <c r="O476" s="704"/>
      <c r="P476" s="704"/>
      <c r="Q476" s="704"/>
      <c r="S476" s="704">
        <f t="shared" si="64"/>
        <v>682000</v>
      </c>
      <c r="T476" s="903">
        <f t="shared" si="65"/>
        <v>548521.77101413638</v>
      </c>
    </row>
    <row r="477" spans="1:20" ht="17.25" customHeight="1">
      <c r="A477" s="741">
        <f t="shared" si="61"/>
        <v>306</v>
      </c>
      <c r="B477" s="291" t="s">
        <v>504</v>
      </c>
      <c r="C477" s="724">
        <v>42539</v>
      </c>
      <c r="D477" s="725" t="s">
        <v>616</v>
      </c>
      <c r="E477" s="807">
        <v>47</v>
      </c>
      <c r="F477" s="808">
        <v>42</v>
      </c>
      <c r="G477" s="808">
        <v>25</v>
      </c>
      <c r="H477" s="798">
        <f t="shared" si="63"/>
        <v>1.28</v>
      </c>
      <c r="I477" s="257">
        <v>357</v>
      </c>
      <c r="J477" s="709">
        <f t="shared" si="60"/>
        <v>456.96000000000004</v>
      </c>
      <c r="K477" s="709">
        <f t="shared" si="62"/>
        <v>10910.767162363552</v>
      </c>
      <c r="L477" s="626">
        <v>9300</v>
      </c>
      <c r="M477" s="626"/>
      <c r="O477" s="704"/>
      <c r="P477" s="704"/>
      <c r="Q477" s="704"/>
      <c r="S477" s="704">
        <f t="shared" si="64"/>
        <v>3320100</v>
      </c>
      <c r="T477" s="903">
        <f t="shared" si="65"/>
        <v>3895143.8769637882</v>
      </c>
    </row>
    <row r="478" spans="1:20" ht="17.25" customHeight="1">
      <c r="A478" s="741">
        <f t="shared" si="61"/>
        <v>307</v>
      </c>
      <c r="B478" s="291" t="s">
        <v>504</v>
      </c>
      <c r="C478" s="724">
        <v>42539</v>
      </c>
      <c r="D478" s="725" t="s">
        <v>617</v>
      </c>
      <c r="E478" s="807">
        <v>47</v>
      </c>
      <c r="F478" s="808">
        <v>42</v>
      </c>
      <c r="G478" s="808">
        <v>25</v>
      </c>
      <c r="H478" s="798">
        <f t="shared" si="63"/>
        <v>1.28</v>
      </c>
      <c r="I478" s="257">
        <v>764</v>
      </c>
      <c r="J478" s="709">
        <f t="shared" si="60"/>
        <v>977.92000000000007</v>
      </c>
      <c r="K478" s="709">
        <f t="shared" si="62"/>
        <v>10910.767162363552</v>
      </c>
      <c r="L478" s="626">
        <v>9300</v>
      </c>
      <c r="M478" s="626"/>
      <c r="O478" s="704"/>
      <c r="P478" s="704"/>
      <c r="Q478" s="704"/>
      <c r="S478" s="704">
        <f t="shared" si="64"/>
        <v>7105200</v>
      </c>
      <c r="T478" s="903">
        <f t="shared" si="65"/>
        <v>8335826.1120457537</v>
      </c>
    </row>
    <row r="479" spans="1:20" ht="17.25" customHeight="1">
      <c r="A479" s="741">
        <f t="shared" si="61"/>
        <v>308</v>
      </c>
      <c r="B479" s="291" t="s">
        <v>507</v>
      </c>
      <c r="C479" s="724">
        <v>42539</v>
      </c>
      <c r="D479" s="725" t="s">
        <v>618</v>
      </c>
      <c r="E479" s="807">
        <v>43</v>
      </c>
      <c r="F479" s="808">
        <v>27.5</v>
      </c>
      <c r="G479" s="808">
        <v>33</v>
      </c>
      <c r="H479" s="798">
        <f t="shared" si="63"/>
        <v>0.93</v>
      </c>
      <c r="I479" s="257">
        <v>214</v>
      </c>
      <c r="J479" s="709">
        <f t="shared" si="60"/>
        <v>199.02</v>
      </c>
      <c r="K479" s="709">
        <f t="shared" si="62"/>
        <v>7927.3542664047691</v>
      </c>
      <c r="L479" s="626">
        <v>6400</v>
      </c>
      <c r="M479" s="626"/>
      <c r="O479" s="704"/>
      <c r="P479" s="704"/>
      <c r="Q479" s="704"/>
      <c r="S479" s="704">
        <f t="shared" si="64"/>
        <v>1369600</v>
      </c>
      <c r="T479" s="903">
        <f t="shared" si="65"/>
        <v>1696453.8130106207</v>
      </c>
    </row>
    <row r="480" spans="1:20" ht="17.25" customHeight="1">
      <c r="A480" s="741">
        <f t="shared" si="61"/>
        <v>309</v>
      </c>
      <c r="B480" s="291" t="s">
        <v>1016</v>
      </c>
      <c r="C480" s="724">
        <v>42541</v>
      </c>
      <c r="D480" s="725" t="s">
        <v>619</v>
      </c>
      <c r="E480" s="807">
        <v>58</v>
      </c>
      <c r="F480" s="808">
        <v>31</v>
      </c>
      <c r="G480" s="808">
        <v>40</v>
      </c>
      <c r="H480" s="798">
        <f t="shared" si="63"/>
        <v>1.35</v>
      </c>
      <c r="I480" s="257">
        <v>88</v>
      </c>
      <c r="J480" s="709">
        <f t="shared" si="60"/>
        <v>118.80000000000001</v>
      </c>
      <c r="K480" s="709">
        <f t="shared" si="62"/>
        <v>11507.449741555311</v>
      </c>
      <c r="L480" s="626">
        <v>9750</v>
      </c>
      <c r="M480" s="626"/>
      <c r="O480" s="704"/>
      <c r="P480" s="704"/>
      <c r="Q480" s="704"/>
      <c r="S480" s="704">
        <f t="shared" si="64"/>
        <v>858000</v>
      </c>
      <c r="T480" s="903">
        <f t="shared" si="65"/>
        <v>1012655.5772568673</v>
      </c>
    </row>
    <row r="481" spans="1:20" ht="17.25" customHeight="1">
      <c r="A481" s="741">
        <f t="shared" si="61"/>
        <v>310</v>
      </c>
      <c r="B481" s="291" t="s">
        <v>1079</v>
      </c>
      <c r="C481" s="724">
        <v>42541</v>
      </c>
      <c r="D481" s="725" t="s">
        <v>619</v>
      </c>
      <c r="E481" s="807">
        <v>43</v>
      </c>
      <c r="F481" s="808">
        <v>39</v>
      </c>
      <c r="G481" s="808">
        <v>27</v>
      </c>
      <c r="H481" s="798">
        <f t="shared" si="63"/>
        <v>1.17</v>
      </c>
      <c r="I481" s="257">
        <v>35</v>
      </c>
      <c r="J481" s="709">
        <f t="shared" si="60"/>
        <v>40.949999999999996</v>
      </c>
      <c r="K481" s="709">
        <f t="shared" si="62"/>
        <v>9973.1231093479346</v>
      </c>
      <c r="L481" s="626">
        <v>12000</v>
      </c>
      <c r="M481" s="626"/>
      <c r="O481" s="704"/>
      <c r="P481" s="704"/>
      <c r="Q481" s="704"/>
      <c r="S481" s="704">
        <f t="shared" si="64"/>
        <v>420000</v>
      </c>
      <c r="T481" s="903">
        <f t="shared" si="65"/>
        <v>349059.30882717774</v>
      </c>
    </row>
    <row r="482" spans="1:20" ht="17.25" customHeight="1">
      <c r="A482" s="741">
        <f t="shared" si="61"/>
        <v>311</v>
      </c>
      <c r="B482" s="291" t="s">
        <v>692</v>
      </c>
      <c r="C482" s="724">
        <v>42541</v>
      </c>
      <c r="D482" s="725" t="s">
        <v>619</v>
      </c>
      <c r="E482" s="807">
        <v>52</v>
      </c>
      <c r="F482" s="808">
        <v>29</v>
      </c>
      <c r="G482" s="808">
        <v>11.8</v>
      </c>
      <c r="H482" s="798">
        <f t="shared" si="63"/>
        <v>0.73</v>
      </c>
      <c r="I482" s="257">
        <v>27</v>
      </c>
      <c r="J482" s="709">
        <f t="shared" si="60"/>
        <v>19.71</v>
      </c>
      <c r="K482" s="709">
        <f t="shared" si="62"/>
        <v>6222.5468972854633</v>
      </c>
      <c r="L482" s="626">
        <v>8600</v>
      </c>
      <c r="M482" s="626"/>
      <c r="O482" s="704"/>
      <c r="P482" s="704"/>
      <c r="Q482" s="704"/>
      <c r="S482" s="704">
        <f t="shared" si="64"/>
        <v>232200</v>
      </c>
      <c r="T482" s="903">
        <f t="shared" si="65"/>
        <v>168008.76622670752</v>
      </c>
    </row>
    <row r="483" spans="1:20" ht="17.25" customHeight="1">
      <c r="A483" s="741">
        <f t="shared" si="61"/>
        <v>312</v>
      </c>
      <c r="B483" s="291" t="s">
        <v>438</v>
      </c>
      <c r="C483" s="724">
        <v>42541</v>
      </c>
      <c r="D483" s="725" t="s">
        <v>619</v>
      </c>
      <c r="E483" s="807">
        <v>47</v>
      </c>
      <c r="F483" s="808">
        <v>42</v>
      </c>
      <c r="G483" s="808">
        <v>27</v>
      </c>
      <c r="H483" s="798">
        <f t="shared" si="63"/>
        <v>1.32</v>
      </c>
      <c r="I483" s="257">
        <v>51</v>
      </c>
      <c r="J483" s="709">
        <f t="shared" si="60"/>
        <v>67.320000000000007</v>
      </c>
      <c r="K483" s="709">
        <f t="shared" si="62"/>
        <v>11251.728636187414</v>
      </c>
      <c r="L483" s="626">
        <v>10100</v>
      </c>
      <c r="M483" s="626"/>
      <c r="O483" s="704"/>
      <c r="P483" s="704"/>
      <c r="Q483" s="704"/>
      <c r="S483" s="704">
        <f t="shared" si="64"/>
        <v>515100</v>
      </c>
      <c r="T483" s="903">
        <f t="shared" si="65"/>
        <v>573838.16044555814</v>
      </c>
    </row>
    <row r="484" spans="1:20" ht="17.25" customHeight="1">
      <c r="A484" s="741">
        <f t="shared" si="61"/>
        <v>313</v>
      </c>
      <c r="B484" s="291" t="s">
        <v>1086</v>
      </c>
      <c r="C484" s="724">
        <v>42541</v>
      </c>
      <c r="D484" s="725" t="s">
        <v>620</v>
      </c>
      <c r="E484" s="807">
        <v>37</v>
      </c>
      <c r="F484" s="808">
        <v>19</v>
      </c>
      <c r="G484" s="808">
        <v>16</v>
      </c>
      <c r="H484" s="798">
        <f t="shared" si="63"/>
        <v>0.44</v>
      </c>
      <c r="I484" s="257">
        <v>2250</v>
      </c>
      <c r="J484" s="709">
        <f t="shared" si="60"/>
        <v>990</v>
      </c>
      <c r="K484" s="709">
        <f t="shared" si="62"/>
        <v>3750.5762120624713</v>
      </c>
      <c r="L484" s="626">
        <v>5500</v>
      </c>
      <c r="M484" s="626"/>
      <c r="O484" s="704"/>
      <c r="P484" s="704"/>
      <c r="Q484" s="704"/>
      <c r="S484" s="704">
        <f t="shared" si="64"/>
        <v>12375000</v>
      </c>
      <c r="T484" s="903">
        <f t="shared" si="65"/>
        <v>8438796.4771405607</v>
      </c>
    </row>
    <row r="485" spans="1:20" ht="17.25" customHeight="1">
      <c r="A485" s="741">
        <f t="shared" si="61"/>
        <v>314</v>
      </c>
      <c r="B485" s="291" t="s">
        <v>964</v>
      </c>
      <c r="C485" s="724">
        <v>42542</v>
      </c>
      <c r="D485" s="725" t="s">
        <v>621</v>
      </c>
      <c r="E485" s="807">
        <v>48</v>
      </c>
      <c r="F485" s="808">
        <v>42</v>
      </c>
      <c r="G485" s="808">
        <v>31</v>
      </c>
      <c r="H485" s="798">
        <f t="shared" si="63"/>
        <v>1.41</v>
      </c>
      <c r="I485" s="257">
        <v>245</v>
      </c>
      <c r="J485" s="709">
        <f t="shared" si="60"/>
        <v>345.45</v>
      </c>
      <c r="K485" s="709">
        <f t="shared" si="62"/>
        <v>12018.8919522911</v>
      </c>
      <c r="L485" s="626">
        <v>14700</v>
      </c>
      <c r="M485" s="626"/>
      <c r="O485" s="704"/>
      <c r="P485" s="704"/>
      <c r="Q485" s="704"/>
      <c r="S485" s="704">
        <f t="shared" si="64"/>
        <v>3601500</v>
      </c>
      <c r="T485" s="903">
        <f t="shared" si="65"/>
        <v>2944628.5283113196</v>
      </c>
    </row>
    <row r="486" spans="1:20" ht="17.25" customHeight="1">
      <c r="A486" s="741">
        <f t="shared" si="61"/>
        <v>315</v>
      </c>
      <c r="B486" s="291" t="s">
        <v>1087</v>
      </c>
      <c r="C486" s="724">
        <v>42542</v>
      </c>
      <c r="D486" s="725" t="s">
        <v>621</v>
      </c>
      <c r="E486" s="807">
        <v>42</v>
      </c>
      <c r="F486" s="808">
        <v>36</v>
      </c>
      <c r="G486" s="808">
        <v>27</v>
      </c>
      <c r="H486" s="798">
        <f t="shared" si="63"/>
        <v>1.06</v>
      </c>
      <c r="I486" s="257">
        <v>30</v>
      </c>
      <c r="J486" s="709">
        <f t="shared" si="60"/>
        <v>31.8</v>
      </c>
      <c r="K486" s="709">
        <f t="shared" si="62"/>
        <v>9035.4790563323168</v>
      </c>
      <c r="L486" s="626">
        <v>8000</v>
      </c>
      <c r="M486" s="626"/>
      <c r="O486" s="704"/>
      <c r="P486" s="704"/>
      <c r="Q486" s="704"/>
      <c r="S486" s="704">
        <f t="shared" si="64"/>
        <v>240000</v>
      </c>
      <c r="T486" s="903">
        <f t="shared" si="65"/>
        <v>271064.3716899695</v>
      </c>
    </row>
    <row r="487" spans="1:20" ht="17.25" customHeight="1">
      <c r="A487" s="741">
        <f t="shared" si="61"/>
        <v>316</v>
      </c>
      <c r="B487" s="291" t="s">
        <v>510</v>
      </c>
      <c r="C487" s="724">
        <v>42542</v>
      </c>
      <c r="D487" s="725" t="s">
        <v>621</v>
      </c>
      <c r="E487" s="807">
        <v>47</v>
      </c>
      <c r="F487" s="808">
        <v>42</v>
      </c>
      <c r="G487" s="808">
        <v>24.5</v>
      </c>
      <c r="H487" s="798">
        <f t="shared" si="63"/>
        <v>1.27</v>
      </c>
      <c r="I487" s="257">
        <v>641</v>
      </c>
      <c r="J487" s="709">
        <f t="shared" si="60"/>
        <v>814.07</v>
      </c>
      <c r="K487" s="709">
        <f t="shared" si="62"/>
        <v>10825.526793907587</v>
      </c>
      <c r="L487" s="626">
        <v>9270</v>
      </c>
      <c r="M487" s="626"/>
      <c r="O487" s="704"/>
      <c r="P487" s="704"/>
      <c r="Q487" s="704"/>
      <c r="S487" s="704">
        <f t="shared" si="64"/>
        <v>5942070</v>
      </c>
      <c r="T487" s="903">
        <f t="shared" si="65"/>
        <v>6939162.6748947632</v>
      </c>
    </row>
    <row r="488" spans="1:20" ht="17.25" customHeight="1">
      <c r="A488" s="741">
        <f t="shared" si="61"/>
        <v>317</v>
      </c>
      <c r="B488" s="291" t="s">
        <v>466</v>
      </c>
      <c r="C488" s="724">
        <v>42543</v>
      </c>
      <c r="D488" s="725" t="s">
        <v>622</v>
      </c>
      <c r="E488" s="807">
        <v>37.5</v>
      </c>
      <c r="F488" s="808">
        <v>25.3</v>
      </c>
      <c r="G488" s="808">
        <v>23.9</v>
      </c>
      <c r="H488" s="798">
        <f t="shared" si="63"/>
        <v>0.68</v>
      </c>
      <c r="I488" s="257">
        <v>834</v>
      </c>
      <c r="J488" s="709">
        <f t="shared" si="60"/>
        <v>567.12</v>
      </c>
      <c r="K488" s="709">
        <f t="shared" si="62"/>
        <v>5796.3450550056377</v>
      </c>
      <c r="L488" s="626">
        <v>5900</v>
      </c>
      <c r="M488" s="626"/>
      <c r="O488" s="704"/>
      <c r="P488" s="704"/>
      <c r="Q488" s="704"/>
      <c r="S488" s="704">
        <f t="shared" si="64"/>
        <v>4920600</v>
      </c>
      <c r="T488" s="903">
        <f t="shared" si="65"/>
        <v>4834151.7758747023</v>
      </c>
    </row>
    <row r="489" spans="1:20" ht="16.5" customHeight="1">
      <c r="A489" s="741">
        <f t="shared" si="61"/>
        <v>318</v>
      </c>
      <c r="B489" s="291" t="s">
        <v>466</v>
      </c>
      <c r="C489" s="724">
        <v>42543</v>
      </c>
      <c r="D489" s="725" t="s">
        <v>622</v>
      </c>
      <c r="E489" s="807">
        <v>37.5</v>
      </c>
      <c r="F489" s="808">
        <v>25.3</v>
      </c>
      <c r="G489" s="808">
        <v>23.9</v>
      </c>
      <c r="H489" s="798">
        <f t="shared" si="63"/>
        <v>0.68</v>
      </c>
      <c r="I489" s="257">
        <v>322</v>
      </c>
      <c r="J489" s="709">
        <f t="shared" si="60"/>
        <v>218.96</v>
      </c>
      <c r="K489" s="709">
        <f t="shared" si="62"/>
        <v>5796.3450550056377</v>
      </c>
      <c r="L489" s="626">
        <v>5900</v>
      </c>
      <c r="M489" s="626"/>
      <c r="O489" s="704"/>
      <c r="P489" s="704"/>
      <c r="Q489" s="704"/>
      <c r="S489" s="704">
        <f t="shared" si="64"/>
        <v>1899800</v>
      </c>
      <c r="T489" s="903">
        <f t="shared" si="65"/>
        <v>1866423.1077118153</v>
      </c>
    </row>
    <row r="490" spans="1:20" ht="16.5" customHeight="1">
      <c r="A490" s="741">
        <f t="shared" si="61"/>
        <v>319</v>
      </c>
      <c r="B490" s="291" t="s">
        <v>1088</v>
      </c>
      <c r="C490" s="724">
        <v>42543</v>
      </c>
      <c r="D490" s="725" t="s">
        <v>623</v>
      </c>
      <c r="E490" s="807">
        <v>47</v>
      </c>
      <c r="F490" s="808">
        <v>42</v>
      </c>
      <c r="G490" s="808">
        <v>31</v>
      </c>
      <c r="H490" s="798">
        <f t="shared" si="63"/>
        <v>1.39</v>
      </c>
      <c r="I490" s="257">
        <v>720</v>
      </c>
      <c r="J490" s="709">
        <f t="shared" si="60"/>
        <v>1000.8</v>
      </c>
      <c r="K490" s="709">
        <f t="shared" si="62"/>
        <v>11848.41121537917</v>
      </c>
      <c r="L490" s="626">
        <v>10300</v>
      </c>
      <c r="M490" s="626"/>
      <c r="O490" s="704"/>
      <c r="P490" s="704"/>
      <c r="Q490" s="704"/>
      <c r="S490" s="704">
        <f t="shared" si="64"/>
        <v>7416000</v>
      </c>
      <c r="T490" s="903">
        <f t="shared" si="65"/>
        <v>8530856.0750730019</v>
      </c>
    </row>
    <row r="491" spans="1:20" ht="16.5" customHeight="1">
      <c r="A491" s="741">
        <f t="shared" si="61"/>
        <v>320</v>
      </c>
      <c r="B491" s="291" t="s">
        <v>1079</v>
      </c>
      <c r="C491" s="724">
        <v>42543</v>
      </c>
      <c r="D491" s="725" t="s">
        <v>623</v>
      </c>
      <c r="E491" s="807">
        <v>43</v>
      </c>
      <c r="F491" s="808">
        <v>39</v>
      </c>
      <c r="G491" s="808">
        <v>27</v>
      </c>
      <c r="H491" s="798">
        <f t="shared" si="63"/>
        <v>1.17</v>
      </c>
      <c r="I491" s="257">
        <v>12</v>
      </c>
      <c r="J491" s="709">
        <f t="shared" si="60"/>
        <v>14.04</v>
      </c>
      <c r="K491" s="709">
        <f t="shared" si="62"/>
        <v>9973.1231093479346</v>
      </c>
      <c r="L491" s="626">
        <v>9300</v>
      </c>
      <c r="M491" s="626"/>
      <c r="O491" s="704"/>
      <c r="P491" s="704"/>
      <c r="Q491" s="704"/>
      <c r="S491" s="704">
        <f t="shared" si="64"/>
        <v>111600</v>
      </c>
      <c r="T491" s="903">
        <f t="shared" si="65"/>
        <v>119677.47731217521</v>
      </c>
    </row>
    <row r="492" spans="1:20" ht="16.5" customHeight="1">
      <c r="A492" s="741">
        <f t="shared" si="61"/>
        <v>321</v>
      </c>
      <c r="B492" s="291" t="s">
        <v>1089</v>
      </c>
      <c r="C492" s="724">
        <v>42544</v>
      </c>
      <c r="D492" s="725" t="s">
        <v>625</v>
      </c>
      <c r="E492" s="807">
        <v>32.5</v>
      </c>
      <c r="F492" s="808">
        <v>21</v>
      </c>
      <c r="G492" s="808">
        <v>32.5</v>
      </c>
      <c r="H492" s="798">
        <f t="shared" si="63"/>
        <v>0.63</v>
      </c>
      <c r="I492" s="257">
        <v>304</v>
      </c>
      <c r="J492" s="709">
        <f t="shared" si="60"/>
        <v>191.52</v>
      </c>
      <c r="K492" s="709">
        <f t="shared" si="62"/>
        <v>5370.1432127258113</v>
      </c>
      <c r="L492" s="626">
        <v>8900</v>
      </c>
      <c r="M492" s="626"/>
      <c r="O492" s="704"/>
      <c r="P492" s="704"/>
      <c r="Q492" s="704"/>
      <c r="S492" s="704">
        <f t="shared" si="64"/>
        <v>2705600</v>
      </c>
      <c r="T492" s="903">
        <f t="shared" si="65"/>
        <v>1632523.5366686466</v>
      </c>
    </row>
    <row r="493" spans="1:20" ht="16.5" customHeight="1">
      <c r="A493" s="741">
        <f t="shared" si="61"/>
        <v>322</v>
      </c>
      <c r="B493" s="291" t="s">
        <v>466</v>
      </c>
      <c r="C493" s="724">
        <v>42545</v>
      </c>
      <c r="D493" s="725" t="s">
        <v>626</v>
      </c>
      <c r="E493" s="807">
        <v>37.5</v>
      </c>
      <c r="F493" s="808">
        <v>25.3</v>
      </c>
      <c r="G493" s="808">
        <v>23.9</v>
      </c>
      <c r="H493" s="798">
        <f t="shared" si="63"/>
        <v>0.68</v>
      </c>
      <c r="I493" s="257">
        <v>534</v>
      </c>
      <c r="J493" s="709">
        <f t="shared" si="60"/>
        <v>363.12</v>
      </c>
      <c r="K493" s="709">
        <f t="shared" si="62"/>
        <v>5796.3450550056377</v>
      </c>
      <c r="L493" s="626">
        <v>5900</v>
      </c>
      <c r="M493" s="626"/>
      <c r="O493" s="704"/>
      <c r="P493" s="704"/>
      <c r="Q493" s="704"/>
      <c r="S493" s="704">
        <f t="shared" si="64"/>
        <v>3150600</v>
      </c>
      <c r="T493" s="903">
        <f t="shared" si="65"/>
        <v>3095248.2593730106</v>
      </c>
    </row>
    <row r="494" spans="1:20" ht="16.5" customHeight="1">
      <c r="A494" s="741">
        <f t="shared" si="61"/>
        <v>323</v>
      </c>
      <c r="B494" s="291" t="s">
        <v>466</v>
      </c>
      <c r="C494" s="724">
        <v>42545</v>
      </c>
      <c r="D494" s="725" t="s">
        <v>626</v>
      </c>
      <c r="E494" s="807">
        <v>37.5</v>
      </c>
      <c r="F494" s="808">
        <v>25.3</v>
      </c>
      <c r="G494" s="808">
        <v>23.9</v>
      </c>
      <c r="H494" s="798">
        <f t="shared" si="63"/>
        <v>0.68</v>
      </c>
      <c r="I494" s="257">
        <v>99</v>
      </c>
      <c r="J494" s="709">
        <f t="shared" si="60"/>
        <v>67.320000000000007</v>
      </c>
      <c r="K494" s="709">
        <f t="shared" si="62"/>
        <v>5796.3450550056377</v>
      </c>
      <c r="L494" s="626">
        <v>5900</v>
      </c>
      <c r="M494" s="626"/>
      <c r="O494" s="704"/>
      <c r="P494" s="704"/>
      <c r="Q494" s="704"/>
      <c r="S494" s="704">
        <f t="shared" si="64"/>
        <v>584100</v>
      </c>
      <c r="T494" s="903">
        <f t="shared" si="65"/>
        <v>573838.16044555814</v>
      </c>
    </row>
    <row r="495" spans="1:20" ht="16.5" customHeight="1">
      <c r="A495" s="741">
        <f t="shared" si="61"/>
        <v>324</v>
      </c>
      <c r="B495" s="291" t="s">
        <v>459</v>
      </c>
      <c r="C495" s="724">
        <v>42545</v>
      </c>
      <c r="D495" s="725" t="s">
        <v>629</v>
      </c>
      <c r="E495" s="807">
        <v>51</v>
      </c>
      <c r="F495" s="808">
        <v>37</v>
      </c>
      <c r="G495" s="808">
        <v>27</v>
      </c>
      <c r="H495" s="798">
        <f t="shared" si="63"/>
        <v>1.21</v>
      </c>
      <c r="I495" s="257">
        <v>628</v>
      </c>
      <c r="J495" s="709">
        <f t="shared" si="60"/>
        <v>759.88</v>
      </c>
      <c r="K495" s="709">
        <f t="shared" si="62"/>
        <v>10314.084583171796</v>
      </c>
      <c r="L495" s="626">
        <v>14000</v>
      </c>
      <c r="M495" s="626"/>
      <c r="O495" s="704"/>
      <c r="P495" s="704"/>
      <c r="Q495" s="704"/>
      <c r="S495" s="704">
        <f t="shared" si="64"/>
        <v>8792000</v>
      </c>
      <c r="T495" s="903">
        <f t="shared" si="65"/>
        <v>6477245.1182318879</v>
      </c>
    </row>
    <row r="496" spans="1:20" ht="16.5" customHeight="1">
      <c r="A496" s="741">
        <f t="shared" si="61"/>
        <v>325</v>
      </c>
      <c r="B496" s="291" t="s">
        <v>1468</v>
      </c>
      <c r="C496" s="724">
        <v>42545</v>
      </c>
      <c r="D496" s="725" t="s">
        <v>630</v>
      </c>
      <c r="E496" s="807">
        <v>29</v>
      </c>
      <c r="F496" s="808">
        <v>18</v>
      </c>
      <c r="G496" s="808">
        <v>18.8</v>
      </c>
      <c r="H496" s="798">
        <f t="shared" si="63"/>
        <v>0.39</v>
      </c>
      <c r="I496" s="257">
        <v>3000</v>
      </c>
      <c r="J496" s="709">
        <f t="shared" si="60"/>
        <v>1170</v>
      </c>
      <c r="K496" s="709">
        <f t="shared" si="62"/>
        <v>3324.3743697826449</v>
      </c>
      <c r="L496" s="626">
        <v>5200</v>
      </c>
      <c r="M496" s="626"/>
      <c r="O496" s="704"/>
      <c r="P496" s="704"/>
      <c r="Q496" s="704"/>
      <c r="S496" s="704">
        <f t="shared" si="64"/>
        <v>15600000</v>
      </c>
      <c r="T496" s="903">
        <f t="shared" si="65"/>
        <v>9973123.1093479339</v>
      </c>
    </row>
    <row r="497" spans="1:20" ht="16.5" customHeight="1">
      <c r="A497" s="741">
        <f t="shared" si="61"/>
        <v>326</v>
      </c>
      <c r="B497" s="291" t="s">
        <v>466</v>
      </c>
      <c r="C497" s="724">
        <v>42548</v>
      </c>
      <c r="D497" s="725" t="s">
        <v>631</v>
      </c>
      <c r="E497" s="807">
        <v>37.5</v>
      </c>
      <c r="F497" s="808">
        <v>25.3</v>
      </c>
      <c r="G497" s="808">
        <v>23.9</v>
      </c>
      <c r="H497" s="798">
        <f t="shared" si="63"/>
        <v>0.68</v>
      </c>
      <c r="I497" s="257">
        <v>509</v>
      </c>
      <c r="J497" s="709">
        <f t="shared" si="60"/>
        <v>346.12</v>
      </c>
      <c r="K497" s="709">
        <f t="shared" si="62"/>
        <v>5796.3450550056377</v>
      </c>
      <c r="L497" s="626">
        <v>5900</v>
      </c>
      <c r="M497" s="626"/>
      <c r="O497" s="704"/>
      <c r="P497" s="704"/>
      <c r="Q497" s="704"/>
      <c r="S497" s="704">
        <f t="shared" si="64"/>
        <v>3003100</v>
      </c>
      <c r="T497" s="903">
        <f t="shared" si="65"/>
        <v>2950339.6329978695</v>
      </c>
    </row>
    <row r="498" spans="1:20" ht="16.5" customHeight="1">
      <c r="A498" s="741">
        <f t="shared" si="61"/>
        <v>327</v>
      </c>
      <c r="B498" s="291" t="s">
        <v>466</v>
      </c>
      <c r="C498" s="724">
        <v>42548</v>
      </c>
      <c r="D498" s="725" t="s">
        <v>631</v>
      </c>
      <c r="E498" s="807">
        <v>37.5</v>
      </c>
      <c r="F498" s="808">
        <v>25.3</v>
      </c>
      <c r="G498" s="808">
        <v>23.9</v>
      </c>
      <c r="H498" s="798">
        <f t="shared" si="63"/>
        <v>0.68</v>
      </c>
      <c r="I498" s="257">
        <v>1104</v>
      </c>
      <c r="J498" s="709">
        <f t="shared" si="60"/>
        <v>750.72</v>
      </c>
      <c r="K498" s="709">
        <f t="shared" si="62"/>
        <v>5796.3450550056377</v>
      </c>
      <c r="L498" s="626">
        <v>5900</v>
      </c>
      <c r="M498" s="626"/>
      <c r="O498" s="704"/>
      <c r="P498" s="704"/>
      <c r="Q498" s="704"/>
      <c r="S498" s="704">
        <f t="shared" si="64"/>
        <v>6513600</v>
      </c>
      <c r="T498" s="903">
        <f t="shared" si="65"/>
        <v>6399164.9407262243</v>
      </c>
    </row>
    <row r="499" spans="1:20" ht="16.5" customHeight="1">
      <c r="A499" s="741">
        <f t="shared" si="61"/>
        <v>328</v>
      </c>
      <c r="B499" s="291" t="s">
        <v>1474</v>
      </c>
      <c r="C499" s="724">
        <v>42548</v>
      </c>
      <c r="D499" s="725" t="s">
        <v>632</v>
      </c>
      <c r="E499" s="807">
        <v>49</v>
      </c>
      <c r="F499" s="808">
        <v>38</v>
      </c>
      <c r="G499" s="808">
        <v>12</v>
      </c>
      <c r="H499" s="798">
        <f t="shared" si="63"/>
        <v>0.95</v>
      </c>
      <c r="I499" s="257">
        <v>522</v>
      </c>
      <c r="J499" s="709">
        <f t="shared" si="60"/>
        <v>495.9</v>
      </c>
      <c r="K499" s="709">
        <f t="shared" si="62"/>
        <v>8097.8350033166989</v>
      </c>
      <c r="L499" s="626">
        <v>10500</v>
      </c>
      <c r="M499" s="626"/>
      <c r="O499" s="704"/>
      <c r="P499" s="704"/>
      <c r="Q499" s="704"/>
      <c r="S499" s="704">
        <f t="shared" si="64"/>
        <v>5481000</v>
      </c>
      <c r="T499" s="903">
        <f t="shared" si="65"/>
        <v>4227069.8717313167</v>
      </c>
    </row>
    <row r="500" spans="1:20" ht="16.5" customHeight="1">
      <c r="A500" s="741">
        <f t="shared" si="61"/>
        <v>329</v>
      </c>
      <c r="B500" s="291" t="s">
        <v>419</v>
      </c>
      <c r="C500" s="724">
        <v>42549</v>
      </c>
      <c r="D500" s="725" t="s">
        <v>1092</v>
      </c>
      <c r="E500" s="807">
        <v>52</v>
      </c>
      <c r="F500" s="808">
        <v>24.5</v>
      </c>
      <c r="G500" s="808">
        <v>24.5</v>
      </c>
      <c r="H500" s="798">
        <f t="shared" si="63"/>
        <v>0.82</v>
      </c>
      <c r="I500" s="257">
        <v>1300</v>
      </c>
      <c r="J500" s="709">
        <f t="shared" si="60"/>
        <v>1066</v>
      </c>
      <c r="K500" s="709">
        <f t="shared" si="62"/>
        <v>6989.7102133891503</v>
      </c>
      <c r="L500" s="626">
        <v>5000</v>
      </c>
      <c r="M500" s="626"/>
      <c r="O500" s="704"/>
      <c r="P500" s="704"/>
      <c r="Q500" s="704"/>
      <c r="S500" s="704">
        <f t="shared" si="64"/>
        <v>6500000</v>
      </c>
      <c r="T500" s="903">
        <f t="shared" si="65"/>
        <v>9086623.2774058953</v>
      </c>
    </row>
    <row r="501" spans="1:20" ht="16.5" customHeight="1">
      <c r="A501" s="741">
        <f t="shared" si="61"/>
        <v>330</v>
      </c>
      <c r="B501" s="291" t="s">
        <v>422</v>
      </c>
      <c r="C501" s="724">
        <v>42549</v>
      </c>
      <c r="D501" s="725" t="s">
        <v>1092</v>
      </c>
      <c r="E501" s="807">
        <v>52</v>
      </c>
      <c r="F501" s="808">
        <v>32</v>
      </c>
      <c r="G501" s="808">
        <v>21</v>
      </c>
      <c r="H501" s="798">
        <f t="shared" si="63"/>
        <v>0.97</v>
      </c>
      <c r="I501" s="257">
        <v>338</v>
      </c>
      <c r="J501" s="709">
        <f t="shared" si="60"/>
        <v>327.86</v>
      </c>
      <c r="K501" s="709">
        <f t="shared" si="62"/>
        <v>8268.3157402286288</v>
      </c>
      <c r="L501" s="626">
        <v>5800</v>
      </c>
      <c r="M501" s="626"/>
      <c r="O501" s="704"/>
      <c r="P501" s="704"/>
      <c r="Q501" s="704"/>
      <c r="S501" s="704">
        <f t="shared" si="64"/>
        <v>1960400</v>
      </c>
      <c r="T501" s="903">
        <f t="shared" si="65"/>
        <v>2794690.7201972767</v>
      </c>
    </row>
    <row r="502" spans="1:20" ht="16.5" customHeight="1">
      <c r="A502" s="741">
        <f t="shared" si="61"/>
        <v>331</v>
      </c>
      <c r="B502" s="291" t="s">
        <v>656</v>
      </c>
      <c r="C502" s="724">
        <v>42549</v>
      </c>
      <c r="D502" s="725" t="s">
        <v>1092</v>
      </c>
      <c r="E502" s="807">
        <v>52</v>
      </c>
      <c r="F502" s="808">
        <v>43</v>
      </c>
      <c r="G502" s="808">
        <v>30</v>
      </c>
      <c r="H502" s="798">
        <f t="shared" si="63"/>
        <v>1.48</v>
      </c>
      <c r="I502" s="257">
        <v>316</v>
      </c>
      <c r="J502" s="709">
        <f t="shared" si="60"/>
        <v>467.68</v>
      </c>
      <c r="K502" s="709">
        <f t="shared" si="62"/>
        <v>12615.574531482858</v>
      </c>
      <c r="L502" s="626">
        <v>9290</v>
      </c>
      <c r="M502" s="626"/>
      <c r="O502" s="704"/>
      <c r="P502" s="704"/>
      <c r="Q502" s="704"/>
      <c r="S502" s="704">
        <f t="shared" si="64"/>
        <v>2935640</v>
      </c>
      <c r="T502" s="903">
        <f t="shared" si="65"/>
        <v>3986521.5519485832</v>
      </c>
    </row>
    <row r="503" spans="1:20" ht="16.5" customHeight="1">
      <c r="A503" s="741">
        <f t="shared" si="61"/>
        <v>332</v>
      </c>
      <c r="B503" s="291" t="s">
        <v>1093</v>
      </c>
      <c r="C503" s="724">
        <v>42550</v>
      </c>
      <c r="D503" s="725" t="s">
        <v>633</v>
      </c>
      <c r="E503" s="807">
        <v>39</v>
      </c>
      <c r="F503" s="808">
        <v>35</v>
      </c>
      <c r="G503" s="808">
        <v>7.5</v>
      </c>
      <c r="H503" s="798">
        <f t="shared" si="63"/>
        <v>0.7</v>
      </c>
      <c r="I503" s="257">
        <v>71</v>
      </c>
      <c r="J503" s="709">
        <f t="shared" si="60"/>
        <v>49.699999999999996</v>
      </c>
      <c r="K503" s="709">
        <f t="shared" si="62"/>
        <v>5966.8257919175676</v>
      </c>
      <c r="L503" s="626">
        <v>5600</v>
      </c>
      <c r="M503" s="626"/>
      <c r="O503" s="704"/>
      <c r="P503" s="704"/>
      <c r="Q503" s="704"/>
      <c r="S503" s="704">
        <f t="shared" si="64"/>
        <v>397600</v>
      </c>
      <c r="T503" s="903">
        <f t="shared" si="65"/>
        <v>423644.63122614729</v>
      </c>
    </row>
    <row r="504" spans="1:20" ht="16.5" customHeight="1">
      <c r="A504" s="741">
        <f t="shared" si="61"/>
        <v>333</v>
      </c>
      <c r="B504" s="291" t="s">
        <v>1060</v>
      </c>
      <c r="C504" s="724">
        <v>42550</v>
      </c>
      <c r="D504" s="725" t="s">
        <v>633</v>
      </c>
      <c r="E504" s="807">
        <v>23.5</v>
      </c>
      <c r="F504" s="808">
        <v>23.5</v>
      </c>
      <c r="G504" s="808">
        <v>30.5</v>
      </c>
      <c r="H504" s="798">
        <f t="shared" si="63"/>
        <v>0.56000000000000005</v>
      </c>
      <c r="I504" s="257">
        <v>535</v>
      </c>
      <c r="J504" s="709">
        <f t="shared" si="60"/>
        <v>299.60000000000002</v>
      </c>
      <c r="K504" s="709">
        <f t="shared" si="62"/>
        <v>4773.460633534055</v>
      </c>
      <c r="L504" s="626">
        <v>6500</v>
      </c>
      <c r="M504" s="626"/>
      <c r="O504" s="704"/>
      <c r="P504" s="704"/>
      <c r="Q504" s="704"/>
      <c r="S504" s="704">
        <f t="shared" si="64"/>
        <v>3477500</v>
      </c>
      <c r="T504" s="903">
        <f t="shared" si="65"/>
        <v>2553801.4389407192</v>
      </c>
    </row>
    <row r="505" spans="1:20" ht="16.5" customHeight="1">
      <c r="A505" s="741">
        <f t="shared" si="61"/>
        <v>334</v>
      </c>
      <c r="B505" s="291" t="s">
        <v>1094</v>
      </c>
      <c r="C505" s="724">
        <v>42550</v>
      </c>
      <c r="D505" s="725" t="s">
        <v>633</v>
      </c>
      <c r="E505" s="807">
        <v>42</v>
      </c>
      <c r="F505" s="808">
        <v>23</v>
      </c>
      <c r="G505" s="808">
        <v>9</v>
      </c>
      <c r="H505" s="798">
        <f t="shared" si="63"/>
        <v>0.47</v>
      </c>
      <c r="I505" s="257">
        <v>333</v>
      </c>
      <c r="J505" s="709">
        <f t="shared" si="60"/>
        <v>156.51</v>
      </c>
      <c r="K505" s="709">
        <f t="shared" si="62"/>
        <v>4006.2973174303665</v>
      </c>
      <c r="L505" s="626">
        <v>5700</v>
      </c>
      <c r="M505" s="626"/>
      <c r="O505" s="704"/>
      <c r="P505" s="704"/>
      <c r="Q505" s="704"/>
      <c r="S505" s="704">
        <f t="shared" si="64"/>
        <v>1898100</v>
      </c>
      <c r="T505" s="903">
        <f t="shared" si="65"/>
        <v>1334097.0067043121</v>
      </c>
    </row>
    <row r="506" spans="1:20" ht="16.5" customHeight="1">
      <c r="A506" s="741">
        <f t="shared" si="61"/>
        <v>335</v>
      </c>
      <c r="B506" s="291" t="s">
        <v>675</v>
      </c>
      <c r="C506" s="724">
        <v>42550</v>
      </c>
      <c r="D506" s="725" t="s">
        <v>1095</v>
      </c>
      <c r="E506" s="807">
        <v>45</v>
      </c>
      <c r="F506" s="808">
        <v>37</v>
      </c>
      <c r="G506" s="808">
        <v>27.5</v>
      </c>
      <c r="H506" s="798">
        <f t="shared" si="63"/>
        <v>1.1399999999999999</v>
      </c>
      <c r="I506" s="257">
        <v>1055</v>
      </c>
      <c r="J506" s="709">
        <f t="shared" si="60"/>
        <v>1202.6999999999998</v>
      </c>
      <c r="K506" s="709">
        <f t="shared" si="62"/>
        <v>9717.402003980038</v>
      </c>
      <c r="L506" s="626">
        <v>13800</v>
      </c>
      <c r="M506" s="626"/>
      <c r="O506" s="704"/>
      <c r="P506" s="704"/>
      <c r="Q506" s="704"/>
      <c r="S506" s="704">
        <f t="shared" si="64"/>
        <v>14559000</v>
      </c>
      <c r="T506" s="903">
        <f t="shared" si="65"/>
        <v>10251859.11419894</v>
      </c>
    </row>
    <row r="507" spans="1:20" ht="16.5" customHeight="1">
      <c r="A507" s="741">
        <f t="shared" si="61"/>
        <v>336</v>
      </c>
      <c r="B507" s="291" t="s">
        <v>675</v>
      </c>
      <c r="C507" s="724">
        <v>42550</v>
      </c>
      <c r="D507" s="725" t="s">
        <v>1095</v>
      </c>
      <c r="E507" s="807">
        <v>45</v>
      </c>
      <c r="F507" s="808">
        <v>37</v>
      </c>
      <c r="G507" s="808">
        <v>27.5</v>
      </c>
      <c r="H507" s="798">
        <f t="shared" si="63"/>
        <v>1.1399999999999999</v>
      </c>
      <c r="I507" s="257">
        <v>100</v>
      </c>
      <c r="J507" s="709">
        <f t="shared" si="60"/>
        <v>113.99999999999999</v>
      </c>
      <c r="K507" s="709">
        <f t="shared" si="62"/>
        <v>9717.402003980038</v>
      </c>
      <c r="L507" s="626">
        <v>13400</v>
      </c>
      <c r="M507" s="626"/>
      <c r="O507" s="704"/>
      <c r="P507" s="704"/>
      <c r="Q507" s="704"/>
      <c r="S507" s="704">
        <f t="shared" si="64"/>
        <v>1340000</v>
      </c>
      <c r="T507" s="903">
        <f t="shared" si="65"/>
        <v>971740.2003980038</v>
      </c>
    </row>
    <row r="508" spans="1:20" ht="16.5" customHeight="1">
      <c r="A508" s="741">
        <f t="shared" si="61"/>
        <v>337</v>
      </c>
      <c r="B508" s="291" t="s">
        <v>723</v>
      </c>
      <c r="C508" s="724">
        <v>42550</v>
      </c>
      <c r="D508" s="725" t="s">
        <v>1095</v>
      </c>
      <c r="E508" s="807">
        <v>44</v>
      </c>
      <c r="F508" s="808">
        <v>20</v>
      </c>
      <c r="G508" s="808"/>
      <c r="H508" s="798">
        <f t="shared" si="63"/>
        <v>0.09</v>
      </c>
      <c r="I508" s="257">
        <v>2000</v>
      </c>
      <c r="J508" s="709">
        <f t="shared" si="60"/>
        <v>180</v>
      </c>
      <c r="K508" s="709">
        <f t="shared" si="62"/>
        <v>767.16331610368729</v>
      </c>
      <c r="L508" s="626">
        <v>1300</v>
      </c>
      <c r="M508" s="626"/>
      <c r="O508" s="704"/>
      <c r="P508" s="704"/>
      <c r="Q508" s="704"/>
      <c r="S508" s="704">
        <f t="shared" si="64"/>
        <v>2600000</v>
      </c>
      <c r="T508" s="903">
        <f t="shared" si="65"/>
        <v>1534326.6322073746</v>
      </c>
    </row>
    <row r="509" spans="1:20" ht="16.5" customHeight="1">
      <c r="A509" s="741">
        <f t="shared" si="61"/>
        <v>338</v>
      </c>
      <c r="B509" s="291" t="s">
        <v>1275</v>
      </c>
      <c r="C509" s="724">
        <v>42550</v>
      </c>
      <c r="D509" s="725" t="s">
        <v>634</v>
      </c>
      <c r="E509" s="807">
        <v>140</v>
      </c>
      <c r="F509" s="808">
        <v>125.5</v>
      </c>
      <c r="G509" s="808"/>
      <c r="H509" s="798">
        <f t="shared" si="63"/>
        <v>1.76</v>
      </c>
      <c r="I509" s="257">
        <v>200</v>
      </c>
      <c r="J509" s="709">
        <f t="shared" si="60"/>
        <v>352</v>
      </c>
      <c r="K509" s="709">
        <f t="shared" si="62"/>
        <v>15002.304848249885</v>
      </c>
      <c r="L509" s="626">
        <v>9300</v>
      </c>
      <c r="M509" s="626"/>
      <c r="O509" s="704"/>
      <c r="P509" s="704"/>
      <c r="Q509" s="704"/>
      <c r="S509" s="704">
        <f t="shared" si="64"/>
        <v>1860000</v>
      </c>
      <c r="T509" s="903">
        <f t="shared" si="65"/>
        <v>3000460.9696499771</v>
      </c>
    </row>
    <row r="510" spans="1:20" ht="16.5" customHeight="1">
      <c r="A510" s="741">
        <f t="shared" si="61"/>
        <v>339</v>
      </c>
      <c r="B510" s="291" t="s">
        <v>1096</v>
      </c>
      <c r="C510" s="724">
        <v>42550</v>
      </c>
      <c r="D510" s="725" t="s">
        <v>635</v>
      </c>
      <c r="E510" s="807">
        <v>46</v>
      </c>
      <c r="F510" s="808">
        <v>39</v>
      </c>
      <c r="G510" s="808">
        <v>24.5</v>
      </c>
      <c r="H510" s="798">
        <f t="shared" si="63"/>
        <v>1.1599999999999999</v>
      </c>
      <c r="I510" s="257">
        <v>1320</v>
      </c>
      <c r="J510" s="709">
        <f t="shared" si="60"/>
        <v>1531.1999999999998</v>
      </c>
      <c r="K510" s="709">
        <f t="shared" si="62"/>
        <v>9887.8827408919697</v>
      </c>
      <c r="L510" s="626">
        <v>8600</v>
      </c>
      <c r="M510" s="626"/>
      <c r="O510" s="704"/>
      <c r="P510" s="704"/>
      <c r="Q510" s="704"/>
      <c r="S510" s="704">
        <f t="shared" si="64"/>
        <v>11352000</v>
      </c>
      <c r="T510" s="903">
        <f t="shared" si="65"/>
        <v>13052005.217977401</v>
      </c>
    </row>
    <row r="511" spans="1:20" ht="16.5" customHeight="1">
      <c r="A511" s="741">
        <f t="shared" si="61"/>
        <v>340</v>
      </c>
      <c r="B511" s="291" t="s">
        <v>1097</v>
      </c>
      <c r="C511" s="724">
        <v>42550</v>
      </c>
      <c r="D511" s="725" t="s">
        <v>635</v>
      </c>
      <c r="E511" s="807">
        <v>52</v>
      </c>
      <c r="F511" s="808">
        <v>45</v>
      </c>
      <c r="G511" s="808">
        <v>22</v>
      </c>
      <c r="H511" s="798">
        <f t="shared" si="63"/>
        <v>1.39</v>
      </c>
      <c r="I511" s="257">
        <v>320</v>
      </c>
      <c r="J511" s="709">
        <f t="shared" si="60"/>
        <v>444.79999999999995</v>
      </c>
      <c r="K511" s="709">
        <f t="shared" si="62"/>
        <v>11848.41121537917</v>
      </c>
      <c r="L511" s="626">
        <v>14500</v>
      </c>
      <c r="M511" s="626"/>
      <c r="O511" s="704"/>
      <c r="P511" s="704"/>
      <c r="Q511" s="704"/>
      <c r="S511" s="704">
        <f t="shared" si="64"/>
        <v>4640000</v>
      </c>
      <c r="T511" s="903">
        <f t="shared" si="65"/>
        <v>3791491.5889213346</v>
      </c>
    </row>
    <row r="512" spans="1:20" ht="16.5" customHeight="1">
      <c r="A512" s="741">
        <f t="shared" si="61"/>
        <v>341</v>
      </c>
      <c r="B512" s="291" t="s">
        <v>1098</v>
      </c>
      <c r="C512" s="724">
        <v>42550</v>
      </c>
      <c r="D512" s="725" t="s">
        <v>635</v>
      </c>
      <c r="E512" s="807">
        <v>53</v>
      </c>
      <c r="F512" s="808">
        <v>42</v>
      </c>
      <c r="G512" s="808">
        <v>27</v>
      </c>
      <c r="H512" s="798">
        <f t="shared" si="63"/>
        <v>1.4</v>
      </c>
      <c r="I512" s="257">
        <v>28</v>
      </c>
      <c r="J512" s="709">
        <f t="shared" si="60"/>
        <v>39.199999999999996</v>
      </c>
      <c r="K512" s="709">
        <f t="shared" si="62"/>
        <v>11933.651583835135</v>
      </c>
      <c r="L512" s="626">
        <v>14500</v>
      </c>
      <c r="M512" s="626"/>
      <c r="O512" s="704"/>
      <c r="P512" s="704"/>
      <c r="Q512" s="704"/>
      <c r="S512" s="704">
        <f t="shared" si="64"/>
        <v>406000</v>
      </c>
      <c r="T512" s="903">
        <f t="shared" si="65"/>
        <v>334142.24434738379</v>
      </c>
    </row>
    <row r="513" spans="1:20" ht="16.5" customHeight="1">
      <c r="A513" s="741">
        <f t="shared" si="61"/>
        <v>342</v>
      </c>
      <c r="B513" s="291" t="s">
        <v>990</v>
      </c>
      <c r="C513" s="724">
        <v>42550</v>
      </c>
      <c r="D513" s="725" t="s">
        <v>635</v>
      </c>
      <c r="E513" s="807">
        <v>46</v>
      </c>
      <c r="F513" s="808">
        <v>42</v>
      </c>
      <c r="G513" s="808">
        <v>26</v>
      </c>
      <c r="H513" s="798">
        <f t="shared" si="63"/>
        <v>1.29</v>
      </c>
      <c r="I513" s="257">
        <v>245</v>
      </c>
      <c r="J513" s="709">
        <f t="shared" si="60"/>
        <v>316.05</v>
      </c>
      <c r="K513" s="709">
        <f t="shared" si="62"/>
        <v>10996.007530819517</v>
      </c>
      <c r="L513" s="626">
        <v>9300</v>
      </c>
      <c r="M513" s="626"/>
      <c r="O513" s="704"/>
      <c r="P513" s="704"/>
      <c r="Q513" s="704"/>
      <c r="S513" s="704">
        <f t="shared" si="64"/>
        <v>2278500</v>
      </c>
      <c r="T513" s="903">
        <f t="shared" si="65"/>
        <v>2694021.845050782</v>
      </c>
    </row>
    <row r="514" spans="1:20" ht="16.5" customHeight="1">
      <c r="A514" s="741">
        <f t="shared" si="61"/>
        <v>343</v>
      </c>
      <c r="B514" s="291" t="s">
        <v>1018</v>
      </c>
      <c r="C514" s="724">
        <v>42550</v>
      </c>
      <c r="D514" s="725" t="s">
        <v>635</v>
      </c>
      <c r="E514" s="807">
        <v>43</v>
      </c>
      <c r="F514" s="808">
        <v>40</v>
      </c>
      <c r="G514" s="808">
        <v>27</v>
      </c>
      <c r="H514" s="798">
        <f t="shared" si="63"/>
        <v>1.2</v>
      </c>
      <c r="I514" s="257">
        <v>52</v>
      </c>
      <c r="J514" s="709">
        <f t="shared" si="60"/>
        <v>62.4</v>
      </c>
      <c r="K514" s="709">
        <f t="shared" si="62"/>
        <v>10228.844214715829</v>
      </c>
      <c r="L514" s="626">
        <v>8800</v>
      </c>
      <c r="M514" s="626"/>
      <c r="O514" s="704"/>
      <c r="P514" s="704"/>
      <c r="Q514" s="704"/>
      <c r="S514" s="704">
        <f t="shared" si="64"/>
        <v>457600</v>
      </c>
      <c r="T514" s="903">
        <f t="shared" si="65"/>
        <v>531899.89916522312</v>
      </c>
    </row>
    <row r="515" spans="1:20" ht="16.5" customHeight="1">
      <c r="A515" s="741">
        <f t="shared" si="61"/>
        <v>344</v>
      </c>
      <c r="B515" s="291" t="s">
        <v>657</v>
      </c>
      <c r="C515" s="724">
        <v>42550</v>
      </c>
      <c r="D515" s="725" t="s">
        <v>636</v>
      </c>
      <c r="E515" s="807">
        <v>40</v>
      </c>
      <c r="F515" s="808">
        <v>30</v>
      </c>
      <c r="G515" s="808">
        <v>18.5</v>
      </c>
      <c r="H515" s="798">
        <f t="shared" si="63"/>
        <v>0.75</v>
      </c>
      <c r="I515" s="257">
        <v>410</v>
      </c>
      <c r="J515" s="709">
        <f t="shared" si="60"/>
        <v>307.5</v>
      </c>
      <c r="K515" s="709">
        <f t="shared" si="62"/>
        <v>6393.027634197394</v>
      </c>
      <c r="L515" s="626">
        <v>8800</v>
      </c>
      <c r="M515" s="626"/>
      <c r="O515" s="704"/>
      <c r="P515" s="704"/>
      <c r="Q515" s="704"/>
      <c r="S515" s="704">
        <f t="shared" si="64"/>
        <v>3608000</v>
      </c>
      <c r="T515" s="903">
        <f t="shared" si="65"/>
        <v>2621141.3300209315</v>
      </c>
    </row>
    <row r="516" spans="1:20" ht="16.5" customHeight="1">
      <c r="A516" s="741">
        <f t="shared" si="61"/>
        <v>345</v>
      </c>
      <c r="B516" s="291" t="s">
        <v>1470</v>
      </c>
      <c r="C516" s="724">
        <v>42550</v>
      </c>
      <c r="D516" s="725" t="s">
        <v>638</v>
      </c>
      <c r="E516" s="807">
        <v>39.299999999999997</v>
      </c>
      <c r="F516" s="808">
        <v>28</v>
      </c>
      <c r="G516" s="808">
        <v>28</v>
      </c>
      <c r="H516" s="798">
        <f t="shared" si="63"/>
        <v>0.82</v>
      </c>
      <c r="I516" s="257">
        <v>800</v>
      </c>
      <c r="J516" s="709">
        <f t="shared" si="60"/>
        <v>656</v>
      </c>
      <c r="K516" s="709">
        <f t="shared" si="62"/>
        <v>6989.7102133891503</v>
      </c>
      <c r="L516" s="626">
        <v>17000</v>
      </c>
      <c r="M516" s="626"/>
      <c r="O516" s="704"/>
      <c r="P516" s="704"/>
      <c r="Q516" s="704"/>
      <c r="S516" s="704">
        <f t="shared" si="64"/>
        <v>13600000</v>
      </c>
      <c r="T516" s="903">
        <f t="shared" si="65"/>
        <v>5591768.1707113199</v>
      </c>
    </row>
    <row r="517" spans="1:20" ht="16.5" customHeight="1">
      <c r="A517" s="741">
        <f t="shared" si="61"/>
        <v>346</v>
      </c>
      <c r="B517" s="291" t="s">
        <v>459</v>
      </c>
      <c r="C517" s="724">
        <v>42550</v>
      </c>
      <c r="D517" s="725" t="s">
        <v>641</v>
      </c>
      <c r="E517" s="807">
        <v>51</v>
      </c>
      <c r="F517" s="808">
        <v>37</v>
      </c>
      <c r="G517" s="808">
        <v>27</v>
      </c>
      <c r="H517" s="798">
        <f t="shared" si="63"/>
        <v>1.21</v>
      </c>
      <c r="I517" s="257">
        <v>628</v>
      </c>
      <c r="J517" s="709">
        <f t="shared" si="60"/>
        <v>759.88</v>
      </c>
      <c r="K517" s="709">
        <f t="shared" si="62"/>
        <v>10314.084583171796</v>
      </c>
      <c r="L517" s="626">
        <v>14000</v>
      </c>
      <c r="M517" s="626"/>
      <c r="O517" s="704"/>
      <c r="P517" s="704"/>
      <c r="Q517" s="704"/>
      <c r="S517" s="704">
        <f t="shared" si="64"/>
        <v>8792000</v>
      </c>
      <c r="T517" s="903">
        <f t="shared" si="65"/>
        <v>6477245.1182318879</v>
      </c>
    </row>
    <row r="518" spans="1:20" ht="16.5" customHeight="1">
      <c r="A518" s="741">
        <f t="shared" si="61"/>
        <v>347</v>
      </c>
      <c r="B518" s="291" t="s">
        <v>1099</v>
      </c>
      <c r="C518" s="724">
        <v>42550</v>
      </c>
      <c r="D518" s="725" t="s">
        <v>643</v>
      </c>
      <c r="E518" s="807">
        <v>122</v>
      </c>
      <c r="F518" s="759">
        <v>54</v>
      </c>
      <c r="G518" s="759">
        <v>180</v>
      </c>
      <c r="H518" s="798">
        <f t="shared" si="63"/>
        <v>8.4600000000000009</v>
      </c>
      <c r="I518" s="257">
        <v>53</v>
      </c>
      <c r="J518" s="709">
        <f t="shared" si="60"/>
        <v>448.38000000000005</v>
      </c>
      <c r="K518" s="709">
        <f t="shared" si="62"/>
        <v>72113.351713746611</v>
      </c>
      <c r="L518" s="626">
        <v>54530</v>
      </c>
      <c r="M518" s="626"/>
      <c r="O518" s="704"/>
      <c r="P518" s="704"/>
      <c r="Q518" s="704"/>
      <c r="S518" s="704">
        <f t="shared" si="64"/>
        <v>2890090</v>
      </c>
      <c r="T518" s="903">
        <f t="shared" si="65"/>
        <v>3822007.6408285704</v>
      </c>
    </row>
    <row r="519" spans="1:20" ht="16.5" customHeight="1">
      <c r="A519" s="741">
        <f t="shared" si="61"/>
        <v>348</v>
      </c>
      <c r="B519" s="291" t="s">
        <v>448</v>
      </c>
      <c r="C519" s="724">
        <v>42550</v>
      </c>
      <c r="D519" s="725" t="s">
        <v>643</v>
      </c>
      <c r="E519" s="807">
        <v>103</v>
      </c>
      <c r="F519" s="808">
        <v>50</v>
      </c>
      <c r="G519" s="759">
        <v>180</v>
      </c>
      <c r="H519" s="798">
        <f t="shared" si="63"/>
        <v>7.25</v>
      </c>
      <c r="I519" s="257">
        <v>120</v>
      </c>
      <c r="J519" s="709">
        <f t="shared" si="60"/>
        <v>870</v>
      </c>
      <c r="K519" s="709">
        <f t="shared" si="62"/>
        <v>61799.267130574808</v>
      </c>
      <c r="L519" s="626">
        <v>47449</v>
      </c>
      <c r="M519" s="626"/>
      <c r="O519" s="704"/>
      <c r="P519" s="704"/>
      <c r="Q519" s="704"/>
      <c r="S519" s="704">
        <f t="shared" si="64"/>
        <v>5693880</v>
      </c>
      <c r="T519" s="903">
        <f t="shared" si="65"/>
        <v>7415912.0556689771</v>
      </c>
    </row>
    <row r="520" spans="1:20" ht="16.5" customHeight="1">
      <c r="A520" s="741">
        <f t="shared" si="61"/>
        <v>349</v>
      </c>
      <c r="B520" s="291" t="s">
        <v>1100</v>
      </c>
      <c r="C520" s="724">
        <v>42550</v>
      </c>
      <c r="D520" s="725" t="s">
        <v>643</v>
      </c>
      <c r="E520" s="807">
        <v>74</v>
      </c>
      <c r="F520" s="808">
        <v>53</v>
      </c>
      <c r="G520" s="808">
        <v>142</v>
      </c>
      <c r="H520" s="798">
        <f t="shared" si="63"/>
        <v>5.13</v>
      </c>
      <c r="I520" s="257">
        <v>13</v>
      </c>
      <c r="J520" s="709">
        <f t="shared" si="60"/>
        <v>66.69</v>
      </c>
      <c r="K520" s="709">
        <f t="shared" si="62"/>
        <v>43728.309017910171</v>
      </c>
      <c r="L520" s="626">
        <v>45000</v>
      </c>
      <c r="M520" s="626"/>
      <c r="O520" s="704"/>
      <c r="P520" s="704"/>
      <c r="Q520" s="704"/>
      <c r="S520" s="704">
        <f t="shared" si="64"/>
        <v>585000</v>
      </c>
      <c r="T520" s="903">
        <f t="shared" si="65"/>
        <v>568468.01723283227</v>
      </c>
    </row>
    <row r="521" spans="1:20" ht="16.5" customHeight="1">
      <c r="A521" s="741">
        <f t="shared" si="61"/>
        <v>350</v>
      </c>
      <c r="B521" s="291" t="s">
        <v>525</v>
      </c>
      <c r="C521" s="724">
        <v>42550</v>
      </c>
      <c r="D521" s="725" t="s">
        <v>643</v>
      </c>
      <c r="E521" s="807">
        <v>142</v>
      </c>
      <c r="F521" s="808">
        <v>72</v>
      </c>
      <c r="G521" s="808">
        <v>58</v>
      </c>
      <c r="H521" s="798">
        <f t="shared" si="63"/>
        <v>5.76</v>
      </c>
      <c r="I521" s="257">
        <v>51</v>
      </c>
      <c r="J521" s="709">
        <f t="shared" si="60"/>
        <v>293.76</v>
      </c>
      <c r="K521" s="709">
        <f t="shared" si="62"/>
        <v>49098.452230635987</v>
      </c>
      <c r="L521" s="626">
        <v>30237</v>
      </c>
      <c r="M521" s="626"/>
      <c r="O521" s="704"/>
      <c r="P521" s="704"/>
      <c r="Q521" s="704"/>
      <c r="S521" s="704">
        <f t="shared" si="64"/>
        <v>1542087</v>
      </c>
      <c r="T521" s="903">
        <f t="shared" si="65"/>
        <v>2504021.0637624352</v>
      </c>
    </row>
    <row r="522" spans="1:20" ht="16.5" customHeight="1">
      <c r="A522" s="741">
        <f t="shared" si="61"/>
        <v>351</v>
      </c>
      <c r="B522" s="291" t="s">
        <v>681</v>
      </c>
      <c r="C522" s="724">
        <v>42551</v>
      </c>
      <c r="D522" s="725" t="s">
        <v>644</v>
      </c>
      <c r="E522" s="807">
        <v>52</v>
      </c>
      <c r="F522" s="808">
        <v>25</v>
      </c>
      <c r="G522" s="808">
        <v>25</v>
      </c>
      <c r="H522" s="798">
        <f t="shared" si="63"/>
        <v>0.84</v>
      </c>
      <c r="I522" s="257">
        <v>220</v>
      </c>
      <c r="J522" s="709">
        <f t="shared" si="60"/>
        <v>184.79999999999998</v>
      </c>
      <c r="K522" s="709">
        <f t="shared" si="62"/>
        <v>7160.1909503010811</v>
      </c>
      <c r="L522" s="626">
        <v>5800</v>
      </c>
      <c r="M522" s="626"/>
      <c r="O522" s="704"/>
      <c r="P522" s="704"/>
      <c r="Q522" s="704"/>
      <c r="S522" s="704">
        <f t="shared" si="64"/>
        <v>1276000</v>
      </c>
      <c r="T522" s="903">
        <f t="shared" si="65"/>
        <v>1575242.0090662378</v>
      </c>
    </row>
    <row r="523" spans="1:20" ht="16.5" customHeight="1">
      <c r="A523" s="741">
        <f t="shared" si="61"/>
        <v>352</v>
      </c>
      <c r="B523" s="291" t="s">
        <v>570</v>
      </c>
      <c r="C523" s="724">
        <v>42551</v>
      </c>
      <c r="D523" s="725" t="s">
        <v>644</v>
      </c>
      <c r="E523" s="807">
        <v>52</v>
      </c>
      <c r="F523" s="808">
        <v>28</v>
      </c>
      <c r="G523" s="808">
        <v>28</v>
      </c>
      <c r="H523" s="798">
        <f t="shared" si="63"/>
        <v>0.97</v>
      </c>
      <c r="I523" s="257">
        <v>529</v>
      </c>
      <c r="J523" s="709">
        <f t="shared" si="60"/>
        <v>513.13</v>
      </c>
      <c r="K523" s="709">
        <f t="shared" si="62"/>
        <v>8268.3157402286288</v>
      </c>
      <c r="L523" s="626">
        <v>6400</v>
      </c>
      <c r="M523" s="626"/>
      <c r="O523" s="704"/>
      <c r="P523" s="704"/>
      <c r="Q523" s="704"/>
      <c r="S523" s="704">
        <f t="shared" si="64"/>
        <v>3385600</v>
      </c>
      <c r="T523" s="903">
        <f t="shared" si="65"/>
        <v>4373939.0265809447</v>
      </c>
    </row>
    <row r="524" spans="1:20" ht="16.5" customHeight="1">
      <c r="A524" s="793"/>
      <c r="B524" s="735"/>
      <c r="C524" s="724"/>
      <c r="D524" s="725"/>
      <c r="E524" s="809"/>
      <c r="F524" s="810"/>
      <c r="G524" s="811"/>
      <c r="H524" s="736"/>
      <c r="I524" s="738"/>
      <c r="J524" s="738"/>
      <c r="K524" s="736"/>
      <c r="L524" s="626"/>
      <c r="M524" s="626"/>
      <c r="O524" s="704"/>
      <c r="P524" s="704"/>
      <c r="Q524" s="704"/>
      <c r="T524" s="729"/>
    </row>
    <row r="525" spans="1:20" ht="16.5" customHeight="1">
      <c r="A525" s="710"/>
      <c r="B525" s="711" t="s">
        <v>243</v>
      </c>
      <c r="C525" s="730"/>
      <c r="D525" s="731"/>
      <c r="E525" s="796"/>
      <c r="F525" s="796"/>
      <c r="G525" s="796"/>
      <c r="H525" s="799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26"/>
      <c r="O525" s="704"/>
      <c r="P525" s="704"/>
      <c r="Q525" s="704"/>
      <c r="R525" s="922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2"/>
      <c r="B526" s="713"/>
      <c r="C526" s="732"/>
      <c r="D526" s="733"/>
      <c r="E526" s="800"/>
      <c r="F526" s="800"/>
      <c r="G526" s="800"/>
      <c r="H526" s="706"/>
      <c r="I526" s="706"/>
      <c r="J526" s="706"/>
      <c r="K526" s="706"/>
      <c r="M526" s="626"/>
      <c r="O526" s="704"/>
      <c r="P526" s="704"/>
      <c r="Q526" s="704"/>
      <c r="R526" s="922"/>
      <c r="T526" s="705"/>
    </row>
    <row r="527" spans="1:20" s="705" customFormat="1" ht="16.5" customHeight="1">
      <c r="A527" s="704"/>
      <c r="B527" s="704"/>
      <c r="C527" s="732"/>
      <c r="D527" s="733"/>
      <c r="E527" s="754"/>
      <c r="F527" s="754"/>
      <c r="G527" s="754"/>
      <c r="H527" s="704"/>
      <c r="I527" s="704"/>
      <c r="J527" s="704"/>
      <c r="K527" s="704"/>
      <c r="L527" s="719"/>
      <c r="N527" s="704"/>
      <c r="O527" s="704"/>
      <c r="P527" s="704"/>
      <c r="Q527" s="704"/>
      <c r="R527" s="704"/>
      <c r="S527" s="704"/>
      <c r="T527" s="704"/>
    </row>
    <row r="528" spans="1:20" s="705" customFormat="1" ht="14.25" hidden="1">
      <c r="A528" s="535" t="str">
        <f>TH!$A$1</f>
        <v>Đơn vị: CÔNG TY TNHH SX TM KIM DUNG PHÁT</v>
      </c>
      <c r="C528" s="732"/>
      <c r="D528" s="733"/>
      <c r="E528" s="754"/>
      <c r="F528" s="754"/>
      <c r="G528" s="754"/>
      <c r="H528" s="287"/>
      <c r="I528" s="563"/>
      <c r="J528" s="563"/>
      <c r="K528" s="287"/>
      <c r="L528" s="719"/>
      <c r="N528" s="704"/>
      <c r="O528" s="704"/>
      <c r="P528" s="704"/>
      <c r="Q528" s="704"/>
      <c r="R528" s="704"/>
      <c r="S528" s="704"/>
      <c r="T528" s="704"/>
    </row>
    <row r="529" spans="1:20">
      <c r="A529" s="706" t="s">
        <v>1304</v>
      </c>
      <c r="B529" s="706"/>
      <c r="C529" s="732"/>
      <c r="D529" s="733"/>
      <c r="E529" s="800"/>
      <c r="F529" s="800"/>
      <c r="G529" s="800"/>
      <c r="H529" s="706"/>
      <c r="I529" s="706"/>
      <c r="J529" s="706"/>
      <c r="K529" s="706"/>
      <c r="M529" s="704"/>
      <c r="O529" s="704"/>
      <c r="P529" s="704"/>
      <c r="Q529" s="704"/>
    </row>
    <row r="530" spans="1:20" ht="18" customHeight="1">
      <c r="A530" s="706"/>
      <c r="B530" s="706"/>
      <c r="C530" s="732"/>
      <c r="D530" s="733"/>
      <c r="E530" s="800"/>
      <c r="F530" s="800"/>
      <c r="G530" s="800"/>
      <c r="H530" s="706"/>
      <c r="I530" s="706"/>
      <c r="J530" s="706"/>
      <c r="K530" s="706"/>
      <c r="M530" s="704"/>
      <c r="O530" s="704"/>
      <c r="P530" s="704"/>
      <c r="Q530" s="704"/>
    </row>
    <row r="531" spans="1:20" ht="24" customHeight="1">
      <c r="A531" s="1138" t="s">
        <v>35</v>
      </c>
      <c r="B531" s="1138" t="s">
        <v>239</v>
      </c>
      <c r="C531" s="1138" t="s">
        <v>753</v>
      </c>
      <c r="D531" s="1138" t="s">
        <v>754</v>
      </c>
      <c r="E531" s="1139" t="s">
        <v>755</v>
      </c>
      <c r="F531" s="1140"/>
      <c r="G531" s="1140"/>
      <c r="H531" s="1141"/>
      <c r="I531" s="1138" t="s">
        <v>240</v>
      </c>
      <c r="J531" s="1145" t="s">
        <v>765</v>
      </c>
      <c r="K531" s="1138" t="s">
        <v>759</v>
      </c>
      <c r="L531" s="416"/>
      <c r="M531" s="704"/>
      <c r="N531" s="1138" t="s">
        <v>239</v>
      </c>
      <c r="O531" s="1138" t="s">
        <v>760</v>
      </c>
      <c r="P531" s="1138" t="s">
        <v>198</v>
      </c>
      <c r="Q531" s="1138" t="s">
        <v>241</v>
      </c>
      <c r="R531" s="1138" t="s">
        <v>242</v>
      </c>
      <c r="S531" s="417"/>
    </row>
    <row r="532" spans="1:20" ht="24" customHeight="1">
      <c r="A532" s="1138"/>
      <c r="B532" s="1138"/>
      <c r="C532" s="1138"/>
      <c r="D532" s="1138"/>
      <c r="E532" s="756" t="s">
        <v>756</v>
      </c>
      <c r="F532" s="756" t="s">
        <v>757</v>
      </c>
      <c r="G532" s="756" t="s">
        <v>758</v>
      </c>
      <c r="H532" s="415" t="s">
        <v>763</v>
      </c>
      <c r="I532" s="1138"/>
      <c r="J532" s="1146"/>
      <c r="K532" s="1138"/>
      <c r="L532" s="416"/>
      <c r="M532" s="704"/>
      <c r="N532" s="1138"/>
      <c r="O532" s="1138"/>
      <c r="P532" s="1138"/>
      <c r="Q532" s="1138"/>
      <c r="R532" s="1138"/>
      <c r="S532" s="417"/>
    </row>
    <row r="533" spans="1:20" s="417" customFormat="1" ht="16.5" customHeight="1">
      <c r="A533" s="708">
        <f>IF(B533&lt;&gt;"",ROW()-(ROW()-1),"")</f>
        <v>1</v>
      </c>
      <c r="B533" s="291" t="s">
        <v>1474</v>
      </c>
      <c r="C533" s="724">
        <v>42556</v>
      </c>
      <c r="D533" s="725" t="s">
        <v>646</v>
      </c>
      <c r="E533" s="803">
        <v>49</v>
      </c>
      <c r="F533" s="802">
        <v>38</v>
      </c>
      <c r="G533" s="802">
        <v>12</v>
      </c>
      <c r="H533" s="798">
        <f t="shared" ref="H533:H559" si="66">IF(G533&lt;&gt;"",ROUND(((E533+F533)*2+5)*(F533+G533+3)/10000,2),ROUND(E533*F533/10000,2))</f>
        <v>0.95</v>
      </c>
      <c r="I533" s="709">
        <v>498</v>
      </c>
      <c r="J533" s="709">
        <f t="shared" ref="J533:J559" si="67">H533*I533</f>
        <v>473.09999999999997</v>
      </c>
      <c r="K533" s="709">
        <f t="shared" ref="K533:K559" si="68">H533*$R$553</f>
        <v>11673.570112762354</v>
      </c>
      <c r="L533" s="626">
        <v>10500</v>
      </c>
      <c r="M533" s="416"/>
      <c r="N533" s="192" t="s">
        <v>710</v>
      </c>
      <c r="O533" s="726">
        <v>42552</v>
      </c>
      <c r="P533" s="757">
        <v>7200</v>
      </c>
      <c r="Q533" s="743">
        <v>9000</v>
      </c>
      <c r="R533" s="8">
        <f t="shared" ref="R533:R534" si="69">ROUND(P533*Q533,0)</f>
        <v>64800000</v>
      </c>
      <c r="S533" s="704">
        <f t="shared" ref="S533" si="70">I533*L533</f>
        <v>5229000</v>
      </c>
      <c r="T533" s="903">
        <f>I533*K533</f>
        <v>5813437.9161556521</v>
      </c>
    </row>
    <row r="534" spans="1:20" s="417" customFormat="1" ht="16.5" customHeight="1">
      <c r="A534" s="708">
        <f t="shared" ref="A534:A559" si="71">IF(B534&lt;&gt;"",A533+1,"")</f>
        <v>2</v>
      </c>
      <c r="B534" s="291" t="s">
        <v>1286</v>
      </c>
      <c r="C534" s="724">
        <v>42557</v>
      </c>
      <c r="D534" s="725" t="s">
        <v>647</v>
      </c>
      <c r="E534" s="803">
        <v>52</v>
      </c>
      <c r="F534" s="802">
        <v>24.5</v>
      </c>
      <c r="G534" s="802">
        <v>24.5</v>
      </c>
      <c r="H534" s="798">
        <f t="shared" si="66"/>
        <v>0.82</v>
      </c>
      <c r="I534" s="709">
        <v>1320</v>
      </c>
      <c r="J534" s="709">
        <f t="shared" si="67"/>
        <v>1082.3999999999999</v>
      </c>
      <c r="K534" s="709">
        <f t="shared" si="68"/>
        <v>10076.134202594874</v>
      </c>
      <c r="L534" s="626">
        <v>5000</v>
      </c>
      <c r="M534" s="416"/>
      <c r="N534" s="189" t="s">
        <v>706</v>
      </c>
      <c r="O534" s="726">
        <v>42614</v>
      </c>
      <c r="P534" s="757">
        <v>3306</v>
      </c>
      <c r="Q534" s="743">
        <v>7600</v>
      </c>
      <c r="R534" s="8">
        <f t="shared" si="69"/>
        <v>25125600</v>
      </c>
      <c r="S534" s="704">
        <f t="shared" ref="S534" si="72">I534*L534</f>
        <v>6600000</v>
      </c>
      <c r="T534" s="903">
        <f>I534*K534</f>
        <v>13300497.147425234</v>
      </c>
    </row>
    <row r="535" spans="1:20" ht="16.5" customHeight="1">
      <c r="A535" s="708">
        <f t="shared" si="71"/>
        <v>3</v>
      </c>
      <c r="B535" s="291" t="s">
        <v>1287</v>
      </c>
      <c r="C535" s="724">
        <v>42557</v>
      </c>
      <c r="D535" s="725" t="s">
        <v>647</v>
      </c>
      <c r="E535" s="803">
        <v>52</v>
      </c>
      <c r="F535" s="802">
        <v>26.5</v>
      </c>
      <c r="G535" s="802">
        <v>26.5</v>
      </c>
      <c r="H535" s="798">
        <f t="shared" si="66"/>
        <v>0.91</v>
      </c>
      <c r="I535" s="709">
        <v>630</v>
      </c>
      <c r="J535" s="709">
        <f t="shared" si="67"/>
        <v>573.30000000000007</v>
      </c>
      <c r="K535" s="709">
        <f t="shared" si="68"/>
        <v>11182.051371172362</v>
      </c>
      <c r="L535" s="626">
        <v>5550</v>
      </c>
      <c r="M535" s="704"/>
      <c r="N535" s="419"/>
      <c r="O535" s="724"/>
      <c r="P535" s="757"/>
      <c r="Q535" s="743"/>
      <c r="R535" s="8"/>
      <c r="S535" s="704">
        <f t="shared" ref="S535:S558" si="73">I535*L535</f>
        <v>3496500</v>
      </c>
      <c r="T535" s="903">
        <f t="shared" ref="T535:T559" si="74">I535*K535</f>
        <v>7044692.3638385879</v>
      </c>
    </row>
    <row r="536" spans="1:20" ht="16.5" customHeight="1">
      <c r="A536" s="708">
        <f t="shared" si="71"/>
        <v>4</v>
      </c>
      <c r="B536" s="291" t="s">
        <v>624</v>
      </c>
      <c r="C536" s="724">
        <v>42557</v>
      </c>
      <c r="D536" s="725" t="s">
        <v>647</v>
      </c>
      <c r="E536" s="803">
        <v>50</v>
      </c>
      <c r="F536" s="802">
        <v>25</v>
      </c>
      <c r="G536" s="802">
        <v>30</v>
      </c>
      <c r="H536" s="798">
        <f t="shared" si="66"/>
        <v>0.9</v>
      </c>
      <c r="I536" s="709">
        <v>320</v>
      </c>
      <c r="J536" s="709">
        <f t="shared" si="67"/>
        <v>288</v>
      </c>
      <c r="K536" s="709">
        <f t="shared" si="68"/>
        <v>11059.171685774863</v>
      </c>
      <c r="L536" s="626">
        <v>5600</v>
      </c>
      <c r="M536" s="704"/>
      <c r="N536" s="794" t="s">
        <v>747</v>
      </c>
      <c r="O536" s="795"/>
      <c r="P536" s="796"/>
      <c r="Q536" s="503"/>
      <c r="R536" s="503">
        <f>SUM(R533:R535)</f>
        <v>89925600</v>
      </c>
      <c r="S536" s="704">
        <f t="shared" si="73"/>
        <v>1792000</v>
      </c>
      <c r="T536" s="903">
        <f t="shared" si="74"/>
        <v>3538934.9394479562</v>
      </c>
    </row>
    <row r="537" spans="1:20" ht="16.5" customHeight="1">
      <c r="A537" s="708">
        <f t="shared" si="71"/>
        <v>5</v>
      </c>
      <c r="B537" s="291" t="s">
        <v>1288</v>
      </c>
      <c r="C537" s="724">
        <v>42557</v>
      </c>
      <c r="D537" s="725" t="s">
        <v>648</v>
      </c>
      <c r="E537" s="803">
        <v>29</v>
      </c>
      <c r="F537" s="802">
        <v>29</v>
      </c>
      <c r="G537" s="802">
        <v>29.5</v>
      </c>
      <c r="H537" s="798">
        <f t="shared" si="66"/>
        <v>0.74</v>
      </c>
      <c r="I537" s="709">
        <v>230</v>
      </c>
      <c r="J537" s="709">
        <f t="shared" si="67"/>
        <v>170.2</v>
      </c>
      <c r="K537" s="709">
        <f t="shared" si="68"/>
        <v>9093.096719414887</v>
      </c>
      <c r="L537" s="626">
        <v>6700</v>
      </c>
      <c r="M537" s="704"/>
      <c r="N537" s="291" t="s">
        <v>888</v>
      </c>
      <c r="O537" s="726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4">
        <f t="shared" si="73"/>
        <v>1541000</v>
      </c>
      <c r="T537" s="903">
        <f t="shared" si="74"/>
        <v>2091412.2454654239</v>
      </c>
    </row>
    <row r="538" spans="1:20" ht="16.5" customHeight="1">
      <c r="A538" s="708">
        <f t="shared" si="71"/>
        <v>6</v>
      </c>
      <c r="B538" s="291" t="s">
        <v>1289</v>
      </c>
      <c r="C538" s="724">
        <v>42558</v>
      </c>
      <c r="D538" s="725" t="s">
        <v>649</v>
      </c>
      <c r="E538" s="803">
        <v>37.5</v>
      </c>
      <c r="F538" s="802">
        <v>25.3</v>
      </c>
      <c r="G538" s="802">
        <v>23.9</v>
      </c>
      <c r="H538" s="798">
        <f t="shared" si="66"/>
        <v>0.68</v>
      </c>
      <c r="I538" s="709">
        <v>1545</v>
      </c>
      <c r="J538" s="709">
        <f t="shared" si="67"/>
        <v>1050.6000000000001</v>
      </c>
      <c r="K538" s="709">
        <f t="shared" si="68"/>
        <v>8355.8186070298962</v>
      </c>
      <c r="L538" s="626">
        <v>5900</v>
      </c>
      <c r="M538" s="704"/>
      <c r="N538" s="189"/>
      <c r="O538" s="191"/>
      <c r="P538" s="256"/>
      <c r="Q538" s="256"/>
      <c r="R538" s="8">
        <f t="shared" si="75"/>
        <v>0</v>
      </c>
      <c r="S538" s="704">
        <f t="shared" si="73"/>
        <v>9115500</v>
      </c>
      <c r="T538" s="903">
        <f t="shared" si="74"/>
        <v>12909739.74786119</v>
      </c>
    </row>
    <row r="539" spans="1:20" ht="16.5" customHeight="1">
      <c r="A539" s="708">
        <f t="shared" si="71"/>
        <v>7</v>
      </c>
      <c r="B539" s="291" t="s">
        <v>1289</v>
      </c>
      <c r="C539" s="724">
        <v>42558</v>
      </c>
      <c r="D539" s="725" t="s">
        <v>649</v>
      </c>
      <c r="E539" s="803">
        <v>37.5</v>
      </c>
      <c r="F539" s="802">
        <v>25.3</v>
      </c>
      <c r="G539" s="802">
        <v>23.9</v>
      </c>
      <c r="H539" s="798">
        <f t="shared" si="66"/>
        <v>0.68</v>
      </c>
      <c r="I539" s="709">
        <v>559</v>
      </c>
      <c r="J539" s="709">
        <f t="shared" si="67"/>
        <v>380.12</v>
      </c>
      <c r="K539" s="709">
        <f t="shared" si="68"/>
        <v>8355.8186070298962</v>
      </c>
      <c r="L539" s="626">
        <v>7300</v>
      </c>
      <c r="M539" s="626"/>
      <c r="N539" s="189"/>
      <c r="O539" s="726"/>
      <c r="P539" s="256"/>
      <c r="Q539" s="256"/>
      <c r="R539" s="8">
        <f t="shared" si="75"/>
        <v>0</v>
      </c>
      <c r="S539" s="704">
        <f t="shared" si="73"/>
        <v>4080700</v>
      </c>
      <c r="T539" s="903">
        <f t="shared" si="74"/>
        <v>4670902.6013297122</v>
      </c>
    </row>
    <row r="540" spans="1:20" ht="16.5" customHeight="1">
      <c r="A540" s="708">
        <f t="shared" si="71"/>
        <v>8</v>
      </c>
      <c r="B540" s="291" t="s">
        <v>1019</v>
      </c>
      <c r="C540" s="724">
        <v>42559</v>
      </c>
      <c r="D540" s="725" t="s">
        <v>650</v>
      </c>
      <c r="E540" s="803">
        <v>33</v>
      </c>
      <c r="F540" s="802">
        <v>33</v>
      </c>
      <c r="G540" s="802">
        <v>27</v>
      </c>
      <c r="H540" s="798">
        <f t="shared" si="66"/>
        <v>0.86</v>
      </c>
      <c r="I540" s="709">
        <v>548</v>
      </c>
      <c r="J540" s="709">
        <f t="shared" si="67"/>
        <v>471.28</v>
      </c>
      <c r="K540" s="709">
        <f t="shared" si="68"/>
        <v>10567.652944184869</v>
      </c>
      <c r="L540" s="626">
        <v>6650</v>
      </c>
      <c r="M540" s="626"/>
      <c r="N540" s="189"/>
      <c r="O540" s="726"/>
      <c r="P540" s="256"/>
      <c r="Q540" s="256"/>
      <c r="R540" s="8">
        <f t="shared" si="75"/>
        <v>0</v>
      </c>
      <c r="S540" s="704">
        <f t="shared" si="73"/>
        <v>3644200</v>
      </c>
      <c r="T540" s="903">
        <f t="shared" si="74"/>
        <v>5791073.813413308</v>
      </c>
    </row>
    <row r="541" spans="1:20" ht="16.5" customHeight="1">
      <c r="A541" s="708">
        <f t="shared" si="71"/>
        <v>9</v>
      </c>
      <c r="B541" s="291" t="s">
        <v>1101</v>
      </c>
      <c r="C541" s="724">
        <v>42563</v>
      </c>
      <c r="D541" s="725" t="s">
        <v>651</v>
      </c>
      <c r="E541" s="803">
        <v>88</v>
      </c>
      <c r="F541" s="802">
        <v>68</v>
      </c>
      <c r="G541" s="802">
        <v>15</v>
      </c>
      <c r="H541" s="798">
        <f t="shared" si="66"/>
        <v>2.73</v>
      </c>
      <c r="I541" s="709">
        <v>220</v>
      </c>
      <c r="J541" s="709">
        <f t="shared" si="67"/>
        <v>600.6</v>
      </c>
      <c r="K541" s="709">
        <f t="shared" si="68"/>
        <v>33546.154113517085</v>
      </c>
      <c r="L541" s="626">
        <v>28000</v>
      </c>
      <c r="M541" s="626"/>
      <c r="N541" s="419"/>
      <c r="O541" s="724"/>
      <c r="P541" s="757"/>
      <c r="Q541" s="743"/>
      <c r="R541" s="8"/>
      <c r="S541" s="704">
        <f t="shared" si="73"/>
        <v>6160000</v>
      </c>
      <c r="T541" s="903">
        <f t="shared" si="74"/>
        <v>7380153.9049737584</v>
      </c>
    </row>
    <row r="542" spans="1:20" ht="16.5" customHeight="1">
      <c r="A542" s="708">
        <f t="shared" si="71"/>
        <v>10</v>
      </c>
      <c r="B542" s="291" t="s">
        <v>948</v>
      </c>
      <c r="C542" s="724">
        <v>42563</v>
      </c>
      <c r="D542" s="725" t="s">
        <v>651</v>
      </c>
      <c r="E542" s="803">
        <v>51</v>
      </c>
      <c r="F542" s="802">
        <v>42</v>
      </c>
      <c r="G542" s="802">
        <v>25</v>
      </c>
      <c r="H542" s="798">
        <f t="shared" si="66"/>
        <v>1.34</v>
      </c>
      <c r="I542" s="709">
        <v>250</v>
      </c>
      <c r="J542" s="709">
        <f t="shared" si="67"/>
        <v>335</v>
      </c>
      <c r="K542" s="709">
        <f t="shared" si="68"/>
        <v>16465.877843264796</v>
      </c>
      <c r="L542" s="626">
        <v>9980</v>
      </c>
      <c r="M542" s="626"/>
      <c r="N542" s="794" t="s">
        <v>748</v>
      </c>
      <c r="O542" s="795"/>
      <c r="P542" s="796"/>
      <c r="Q542" s="503"/>
      <c r="R542" s="503">
        <f>SUM(R537:R541)</f>
        <v>3800000</v>
      </c>
      <c r="S542" s="704">
        <f t="shared" si="73"/>
        <v>2495000</v>
      </c>
      <c r="T542" s="903">
        <f t="shared" si="74"/>
        <v>4116469.460816199</v>
      </c>
    </row>
    <row r="543" spans="1:20" ht="16.5" customHeight="1">
      <c r="A543" s="708">
        <f t="shared" si="71"/>
        <v>11</v>
      </c>
      <c r="B543" s="291" t="s">
        <v>1102</v>
      </c>
      <c r="C543" s="724">
        <v>42563</v>
      </c>
      <c r="D543" s="725" t="s">
        <v>651</v>
      </c>
      <c r="E543" s="803">
        <v>43</v>
      </c>
      <c r="F543" s="802">
        <v>29</v>
      </c>
      <c r="G543" s="802">
        <v>26</v>
      </c>
      <c r="H543" s="798">
        <f t="shared" si="66"/>
        <v>0.86</v>
      </c>
      <c r="I543" s="709">
        <v>45</v>
      </c>
      <c r="J543" s="709">
        <f t="shared" si="67"/>
        <v>38.700000000000003</v>
      </c>
      <c r="K543" s="709">
        <f t="shared" si="68"/>
        <v>10567.652944184869</v>
      </c>
      <c r="L543" s="626">
        <v>8800</v>
      </c>
      <c r="M543" s="626"/>
      <c r="N543" s="419" t="s">
        <v>749</v>
      </c>
      <c r="O543" s="724"/>
      <c r="P543" s="757"/>
      <c r="Q543" s="743"/>
      <c r="R543" s="8">
        <f>R536</f>
        <v>89925600</v>
      </c>
      <c r="S543" s="704">
        <f t="shared" si="73"/>
        <v>396000</v>
      </c>
      <c r="T543" s="903">
        <f t="shared" si="74"/>
        <v>475544.38248831907</v>
      </c>
    </row>
    <row r="544" spans="1:20" ht="16.5" customHeight="1">
      <c r="A544" s="708">
        <f t="shared" si="71"/>
        <v>12</v>
      </c>
      <c r="B544" s="291" t="s">
        <v>504</v>
      </c>
      <c r="C544" s="724">
        <v>42563</v>
      </c>
      <c r="D544" s="725" t="s">
        <v>651</v>
      </c>
      <c r="E544" s="803">
        <v>47</v>
      </c>
      <c r="F544" s="802">
        <v>42</v>
      </c>
      <c r="G544" s="802">
        <v>25</v>
      </c>
      <c r="H544" s="798">
        <f t="shared" si="66"/>
        <v>1.28</v>
      </c>
      <c r="I544" s="709">
        <v>582</v>
      </c>
      <c r="J544" s="709">
        <f t="shared" si="67"/>
        <v>744.96</v>
      </c>
      <c r="K544" s="709">
        <f t="shared" si="68"/>
        <v>15728.599730879805</v>
      </c>
      <c r="L544" s="626">
        <v>9600</v>
      </c>
      <c r="M544" s="626"/>
      <c r="N544" s="419" t="s">
        <v>750</v>
      </c>
      <c r="O544" s="724"/>
      <c r="P544" s="757"/>
      <c r="Q544" s="743"/>
      <c r="R544" s="8">
        <f>R542</f>
        <v>3800000</v>
      </c>
      <c r="S544" s="704">
        <f t="shared" si="73"/>
        <v>5587200</v>
      </c>
      <c r="T544" s="903">
        <f t="shared" si="74"/>
        <v>9154045.0433720462</v>
      </c>
    </row>
    <row r="545" spans="1:20" ht="16.5" customHeight="1">
      <c r="A545" s="708">
        <f t="shared" si="71"/>
        <v>13</v>
      </c>
      <c r="B545" s="291" t="s">
        <v>1103</v>
      </c>
      <c r="C545" s="724">
        <v>42563</v>
      </c>
      <c r="D545" s="725" t="s">
        <v>651</v>
      </c>
      <c r="E545" s="803">
        <v>37</v>
      </c>
      <c r="F545" s="802">
        <v>37</v>
      </c>
      <c r="G545" s="802">
        <v>37</v>
      </c>
      <c r="H545" s="798">
        <f t="shared" si="66"/>
        <v>1.18</v>
      </c>
      <c r="I545" s="709">
        <v>55</v>
      </c>
      <c r="J545" s="709">
        <f t="shared" si="67"/>
        <v>64.899999999999991</v>
      </c>
      <c r="K545" s="709">
        <f t="shared" si="68"/>
        <v>14499.802876904818</v>
      </c>
      <c r="L545" s="626">
        <v>9000</v>
      </c>
      <c r="M545" s="626"/>
      <c r="N545" s="419" t="s">
        <v>751</v>
      </c>
      <c r="O545" s="724"/>
      <c r="P545" s="757"/>
      <c r="Q545" s="743"/>
      <c r="R545" s="8">
        <v>6250000</v>
      </c>
      <c r="S545" s="704">
        <f t="shared" si="73"/>
        <v>495000</v>
      </c>
      <c r="T545" s="903">
        <f t="shared" si="74"/>
        <v>797489.15822976502</v>
      </c>
    </row>
    <row r="546" spans="1:20" ht="16.5" customHeight="1">
      <c r="A546" s="708">
        <f t="shared" si="71"/>
        <v>14</v>
      </c>
      <c r="B546" s="291" t="s">
        <v>1099</v>
      </c>
      <c r="C546" s="724">
        <v>42563</v>
      </c>
      <c r="D546" s="725" t="s">
        <v>652</v>
      </c>
      <c r="E546" s="803">
        <v>122</v>
      </c>
      <c r="F546" s="802">
        <v>54</v>
      </c>
      <c r="G546" s="802">
        <v>180</v>
      </c>
      <c r="H546" s="798">
        <f t="shared" si="66"/>
        <v>8.4600000000000009</v>
      </c>
      <c r="I546" s="709">
        <v>19</v>
      </c>
      <c r="J546" s="709">
        <f t="shared" si="67"/>
        <v>160.74</v>
      </c>
      <c r="K546" s="709">
        <f t="shared" si="68"/>
        <v>103956.21384628372</v>
      </c>
      <c r="L546" s="626">
        <v>54530</v>
      </c>
      <c r="M546" s="626"/>
      <c r="N546" s="419" t="s">
        <v>764</v>
      </c>
      <c r="O546" s="724"/>
      <c r="P546" s="757"/>
      <c r="Q546" s="743"/>
      <c r="R546" s="8">
        <v>48510000</v>
      </c>
      <c r="S546" s="704">
        <f t="shared" si="73"/>
        <v>1036070</v>
      </c>
      <c r="T546" s="903">
        <f t="shared" si="74"/>
        <v>1975168.0630793907</v>
      </c>
    </row>
    <row r="547" spans="1:20" ht="16.5" customHeight="1">
      <c r="A547" s="708">
        <f t="shared" si="71"/>
        <v>15</v>
      </c>
      <c r="B547" s="291" t="s">
        <v>448</v>
      </c>
      <c r="C547" s="724">
        <v>42563</v>
      </c>
      <c r="D547" s="725" t="s">
        <v>652</v>
      </c>
      <c r="E547" s="803">
        <v>103</v>
      </c>
      <c r="F547" s="802">
        <v>50</v>
      </c>
      <c r="G547" s="802">
        <v>180</v>
      </c>
      <c r="H547" s="798">
        <f t="shared" si="66"/>
        <v>7.25</v>
      </c>
      <c r="I547" s="709">
        <v>60</v>
      </c>
      <c r="J547" s="709">
        <f t="shared" si="67"/>
        <v>435</v>
      </c>
      <c r="K547" s="709">
        <f t="shared" si="68"/>
        <v>89087.771913186385</v>
      </c>
      <c r="L547" s="626">
        <v>47449</v>
      </c>
      <c r="M547" s="626"/>
      <c r="N547" s="291"/>
      <c r="O547" s="191"/>
      <c r="P547" s="757"/>
      <c r="Q547" s="743"/>
      <c r="R547" s="8"/>
      <c r="S547" s="704">
        <f t="shared" si="73"/>
        <v>2846940</v>
      </c>
      <c r="T547" s="903">
        <f t="shared" si="74"/>
        <v>5345266.314791183</v>
      </c>
    </row>
    <row r="548" spans="1:20" ht="16.5" customHeight="1">
      <c r="A548" s="708">
        <f t="shared" si="71"/>
        <v>16</v>
      </c>
      <c r="B548" s="291" t="s">
        <v>459</v>
      </c>
      <c r="C548" s="724">
        <v>42604</v>
      </c>
      <c r="D548" s="725" t="s">
        <v>1290</v>
      </c>
      <c r="E548" s="803">
        <v>51</v>
      </c>
      <c r="F548" s="802">
        <v>37</v>
      </c>
      <c r="G548" s="802">
        <v>27</v>
      </c>
      <c r="H548" s="798">
        <f t="shared" si="66"/>
        <v>1.21</v>
      </c>
      <c r="I548" s="709">
        <v>489</v>
      </c>
      <c r="J548" s="709">
        <f t="shared" si="67"/>
        <v>591.68999999999994</v>
      </c>
      <c r="K548" s="709">
        <f t="shared" si="68"/>
        <v>14868.441933097314</v>
      </c>
      <c r="L548" s="626">
        <v>14000</v>
      </c>
      <c r="M548" s="626"/>
      <c r="N548" s="291"/>
      <c r="O548" s="724"/>
      <c r="P548" s="757"/>
      <c r="Q548" s="743"/>
      <c r="R548" s="8"/>
      <c r="S548" s="704">
        <f t="shared" si="73"/>
        <v>6846000</v>
      </c>
      <c r="T548" s="903">
        <f t="shared" si="74"/>
        <v>7270668.1052845865</v>
      </c>
    </row>
    <row r="549" spans="1:20" ht="16.5" customHeight="1">
      <c r="A549" s="708">
        <f t="shared" si="71"/>
        <v>17</v>
      </c>
      <c r="B549" s="291" t="s">
        <v>1293</v>
      </c>
      <c r="C549" s="724">
        <v>42605</v>
      </c>
      <c r="D549" s="725" t="s">
        <v>1291</v>
      </c>
      <c r="E549" s="803">
        <v>13.5</v>
      </c>
      <c r="F549" s="802">
        <v>13.5</v>
      </c>
      <c r="G549" s="802">
        <v>18</v>
      </c>
      <c r="H549" s="798">
        <f t="shared" si="66"/>
        <v>0.2</v>
      </c>
      <c r="I549" s="709">
        <v>1714</v>
      </c>
      <c r="J549" s="709">
        <f t="shared" si="67"/>
        <v>342.8</v>
      </c>
      <c r="K549" s="709">
        <f t="shared" si="68"/>
        <v>2457.5937079499695</v>
      </c>
      <c r="L549" s="626">
        <v>1530</v>
      </c>
      <c r="M549" s="626"/>
      <c r="N549" s="291"/>
      <c r="O549" s="724"/>
      <c r="P549" s="757"/>
      <c r="Q549" s="743"/>
      <c r="R549" s="8"/>
      <c r="S549" s="704">
        <f t="shared" si="73"/>
        <v>2622420</v>
      </c>
      <c r="T549" s="903">
        <f t="shared" si="74"/>
        <v>4212315.6154262479</v>
      </c>
    </row>
    <row r="550" spans="1:20" ht="16.5" customHeight="1">
      <c r="A550" s="708">
        <f t="shared" si="71"/>
        <v>18</v>
      </c>
      <c r="B550" s="291" t="s">
        <v>1294</v>
      </c>
      <c r="C550" s="724">
        <v>42605</v>
      </c>
      <c r="D550" s="725" t="s">
        <v>1291</v>
      </c>
      <c r="E550" s="803">
        <v>30</v>
      </c>
      <c r="F550" s="802">
        <v>30</v>
      </c>
      <c r="G550" s="802">
        <v>18</v>
      </c>
      <c r="H550" s="798">
        <f t="shared" si="66"/>
        <v>0.64</v>
      </c>
      <c r="I550" s="709">
        <v>218</v>
      </c>
      <c r="J550" s="709">
        <f t="shared" si="67"/>
        <v>139.52000000000001</v>
      </c>
      <c r="K550" s="709">
        <f t="shared" si="68"/>
        <v>7864.2998654399025</v>
      </c>
      <c r="L550" s="626">
        <v>10240</v>
      </c>
      <c r="M550" s="626"/>
      <c r="N550" s="794" t="s">
        <v>761</v>
      </c>
      <c r="O550" s="795"/>
      <c r="P550" s="796"/>
      <c r="Q550" s="503"/>
      <c r="R550" s="503">
        <f>SUM(R543:R548)</f>
        <v>148485600</v>
      </c>
      <c r="S550" s="704">
        <f t="shared" si="73"/>
        <v>2232320</v>
      </c>
      <c r="T550" s="903">
        <f t="shared" si="74"/>
        <v>1714417.3706658988</v>
      </c>
    </row>
    <row r="551" spans="1:20" ht="16.5" customHeight="1">
      <c r="A551" s="708">
        <f t="shared" si="71"/>
        <v>19</v>
      </c>
      <c r="B551" s="291" t="s">
        <v>1286</v>
      </c>
      <c r="C551" s="724">
        <v>42612</v>
      </c>
      <c r="D551" s="725" t="s">
        <v>1295</v>
      </c>
      <c r="E551" s="803">
        <v>52</v>
      </c>
      <c r="F551" s="802">
        <v>24.5</v>
      </c>
      <c r="G551" s="802">
        <v>24.5</v>
      </c>
      <c r="H551" s="798">
        <f t="shared" si="66"/>
        <v>0.82</v>
      </c>
      <c r="I551" s="709">
        <v>819</v>
      </c>
      <c r="J551" s="709">
        <f t="shared" si="67"/>
        <v>671.57999999999993</v>
      </c>
      <c r="K551" s="709">
        <f t="shared" si="68"/>
        <v>10076.134202594874</v>
      </c>
      <c r="L551" s="626">
        <v>5000</v>
      </c>
      <c r="M551" s="626"/>
      <c r="N551" s="420"/>
      <c r="O551" s="732"/>
      <c r="P551" s="758"/>
      <c r="Q551" s="722"/>
      <c r="R551" s="734"/>
      <c r="S551" s="704">
        <f t="shared" si="73"/>
        <v>4095000</v>
      </c>
      <c r="T551" s="903">
        <f t="shared" si="74"/>
        <v>8252353.9119252022</v>
      </c>
    </row>
    <row r="552" spans="1:20" ht="16.5" customHeight="1">
      <c r="A552" s="708">
        <f t="shared" si="71"/>
        <v>20</v>
      </c>
      <c r="B552" s="291" t="s">
        <v>1287</v>
      </c>
      <c r="C552" s="724">
        <v>42612</v>
      </c>
      <c r="D552" s="725" t="s">
        <v>1295</v>
      </c>
      <c r="E552" s="803">
        <v>52</v>
      </c>
      <c r="F552" s="802">
        <v>26.5</v>
      </c>
      <c r="G552" s="802">
        <v>26.5</v>
      </c>
      <c r="H552" s="798">
        <f t="shared" si="66"/>
        <v>0.91</v>
      </c>
      <c r="I552" s="709">
        <v>610</v>
      </c>
      <c r="J552" s="709">
        <f t="shared" si="67"/>
        <v>555.1</v>
      </c>
      <c r="K552" s="709">
        <f t="shared" si="68"/>
        <v>11182.051371172362</v>
      </c>
      <c r="L552" s="626">
        <v>5550</v>
      </c>
      <c r="M552" s="626"/>
      <c r="N552" s="420"/>
      <c r="O552" s="732"/>
      <c r="P552" s="758"/>
      <c r="Q552" s="722"/>
      <c r="R552" s="734"/>
      <c r="S552" s="704">
        <f t="shared" si="73"/>
        <v>3385500</v>
      </c>
      <c r="T552" s="903">
        <f t="shared" si="74"/>
        <v>6821051.3364151409</v>
      </c>
    </row>
    <row r="553" spans="1:20" ht="16.5" customHeight="1">
      <c r="A553" s="708">
        <f t="shared" si="71"/>
        <v>21</v>
      </c>
      <c r="B553" s="291" t="s">
        <v>471</v>
      </c>
      <c r="C553" s="724">
        <v>42612</v>
      </c>
      <c r="D553" s="725" t="s">
        <v>1295</v>
      </c>
      <c r="E553" s="803">
        <v>55</v>
      </c>
      <c r="F553" s="802">
        <v>45</v>
      </c>
      <c r="G553" s="802">
        <v>29</v>
      </c>
      <c r="H553" s="798">
        <f t="shared" si="66"/>
        <v>1.58</v>
      </c>
      <c r="I553" s="709">
        <v>599</v>
      </c>
      <c r="J553" s="709">
        <f t="shared" si="67"/>
        <v>946.42000000000007</v>
      </c>
      <c r="K553" s="709">
        <f t="shared" si="68"/>
        <v>19414.99029280476</v>
      </c>
      <c r="L553" s="626">
        <v>9700</v>
      </c>
      <c r="M553" s="626"/>
      <c r="N553" s="1142" t="s">
        <v>762</v>
      </c>
      <c r="O553" s="1143"/>
      <c r="P553" s="1143"/>
      <c r="Q553" s="1144"/>
      <c r="R553" s="799">
        <f>R550/J561</f>
        <v>12287.968539749847</v>
      </c>
      <c r="S553" s="704">
        <f t="shared" si="73"/>
        <v>5810300</v>
      </c>
      <c r="T553" s="903">
        <f t="shared" si="74"/>
        <v>11629579.185390051</v>
      </c>
    </row>
    <row r="554" spans="1:20" ht="16.5" customHeight="1">
      <c r="A554" s="708">
        <f t="shared" si="71"/>
        <v>22</v>
      </c>
      <c r="B554" s="291" t="s">
        <v>484</v>
      </c>
      <c r="C554" s="724">
        <v>42612</v>
      </c>
      <c r="D554" s="725" t="s">
        <v>1295</v>
      </c>
      <c r="E554" s="803">
        <v>61</v>
      </c>
      <c r="F554" s="802">
        <v>51</v>
      </c>
      <c r="G554" s="802">
        <v>30</v>
      </c>
      <c r="H554" s="798">
        <f t="shared" si="66"/>
        <v>1.92</v>
      </c>
      <c r="I554" s="709">
        <v>305</v>
      </c>
      <c r="J554" s="709">
        <f t="shared" si="67"/>
        <v>585.6</v>
      </c>
      <c r="K554" s="709">
        <f t="shared" si="68"/>
        <v>23592.899596319705</v>
      </c>
      <c r="L554" s="626">
        <v>10670</v>
      </c>
      <c r="M554" s="626"/>
      <c r="N554" s="287"/>
      <c r="O554" s="700"/>
      <c r="S554" s="704">
        <f t="shared" si="73"/>
        <v>3254350</v>
      </c>
      <c r="T554" s="903">
        <f t="shared" si="74"/>
        <v>7195834.37687751</v>
      </c>
    </row>
    <row r="555" spans="1:20" ht="16.5" customHeight="1">
      <c r="A555" s="708">
        <f t="shared" si="71"/>
        <v>23</v>
      </c>
      <c r="B555" s="291" t="s">
        <v>1477</v>
      </c>
      <c r="C555" s="724">
        <v>42612</v>
      </c>
      <c r="D555" s="725" t="s">
        <v>1296</v>
      </c>
      <c r="E555" s="803">
        <v>63</v>
      </c>
      <c r="F555" s="802">
        <v>53</v>
      </c>
      <c r="G555" s="802">
        <v>32</v>
      </c>
      <c r="H555" s="798">
        <f t="shared" si="66"/>
        <v>2.09</v>
      </c>
      <c r="I555" s="709">
        <v>100</v>
      </c>
      <c r="J555" s="709">
        <f t="shared" si="67"/>
        <v>209</v>
      </c>
      <c r="K555" s="709">
        <f t="shared" si="68"/>
        <v>25681.854248077179</v>
      </c>
      <c r="L555" s="626">
        <v>18300</v>
      </c>
      <c r="M555" s="626"/>
      <c r="N555" s="287"/>
      <c r="O555" s="700"/>
      <c r="S555" s="704">
        <f t="shared" si="73"/>
        <v>1830000</v>
      </c>
      <c r="T555" s="903">
        <f t="shared" si="74"/>
        <v>2568185.424807718</v>
      </c>
    </row>
    <row r="556" spans="1:20" ht="16.5" customHeight="1">
      <c r="A556" s="708">
        <f t="shared" si="71"/>
        <v>24</v>
      </c>
      <c r="B556" s="291" t="s">
        <v>1477</v>
      </c>
      <c r="C556" s="724">
        <v>42612</v>
      </c>
      <c r="D556" s="725" t="s">
        <v>1296</v>
      </c>
      <c r="E556" s="803">
        <v>63</v>
      </c>
      <c r="F556" s="802">
        <v>53</v>
      </c>
      <c r="G556" s="802">
        <v>32</v>
      </c>
      <c r="H556" s="798">
        <f t="shared" si="66"/>
        <v>2.09</v>
      </c>
      <c r="I556" s="709">
        <v>100</v>
      </c>
      <c r="J556" s="709">
        <f t="shared" si="67"/>
        <v>209</v>
      </c>
      <c r="K556" s="709">
        <f t="shared" si="68"/>
        <v>25681.854248077179</v>
      </c>
      <c r="L556" s="626">
        <v>18300</v>
      </c>
      <c r="M556" s="626"/>
      <c r="N556" s="287"/>
      <c r="O556" s="700"/>
      <c r="S556" s="704">
        <f t="shared" si="73"/>
        <v>1830000</v>
      </c>
      <c r="T556" s="903">
        <f t="shared" si="74"/>
        <v>2568185.424807718</v>
      </c>
    </row>
    <row r="557" spans="1:20" ht="16.5" customHeight="1">
      <c r="A557" s="708">
        <f t="shared" si="71"/>
        <v>25</v>
      </c>
      <c r="B557" s="291" t="s">
        <v>640</v>
      </c>
      <c r="C557" s="724">
        <v>42627</v>
      </c>
      <c r="D557" s="725" t="s">
        <v>1297</v>
      </c>
      <c r="E557" s="803">
        <v>80</v>
      </c>
      <c r="F557" s="802">
        <v>60</v>
      </c>
      <c r="G557" s="802">
        <v>50</v>
      </c>
      <c r="H557" s="798">
        <f t="shared" si="66"/>
        <v>3.22</v>
      </c>
      <c r="I557" s="709">
        <v>153</v>
      </c>
      <c r="J557" s="709">
        <f t="shared" si="67"/>
        <v>492.66</v>
      </c>
      <c r="K557" s="709">
        <f t="shared" si="68"/>
        <v>39567.258697994512</v>
      </c>
      <c r="L557" s="626">
        <v>22750</v>
      </c>
      <c r="M557" s="626"/>
      <c r="N557" s="287"/>
      <c r="O557" s="700"/>
      <c r="S557" s="704">
        <f t="shared" si="73"/>
        <v>3480750</v>
      </c>
      <c r="T557" s="903">
        <f t="shared" si="74"/>
        <v>6053790.58079316</v>
      </c>
    </row>
    <row r="558" spans="1:20" ht="16.5" customHeight="1">
      <c r="A558" s="708">
        <f t="shared" si="71"/>
        <v>26</v>
      </c>
      <c r="B558" s="291" t="s">
        <v>1003</v>
      </c>
      <c r="C558" s="724">
        <v>42627</v>
      </c>
      <c r="D558" s="725" t="s">
        <v>1298</v>
      </c>
      <c r="E558" s="803">
        <v>55</v>
      </c>
      <c r="F558" s="802">
        <v>28</v>
      </c>
      <c r="G558" s="802">
        <v>22</v>
      </c>
      <c r="H558" s="798">
        <f t="shared" si="66"/>
        <v>0.91</v>
      </c>
      <c r="I558" s="709">
        <v>205</v>
      </c>
      <c r="J558" s="709">
        <f t="shared" si="67"/>
        <v>186.55</v>
      </c>
      <c r="K558" s="709">
        <f t="shared" si="68"/>
        <v>11182.051371172362</v>
      </c>
      <c r="L558" s="626">
        <v>13200</v>
      </c>
      <c r="M558" s="626"/>
      <c r="N558" s="287"/>
      <c r="O558" s="700"/>
      <c r="S558" s="704">
        <f t="shared" si="73"/>
        <v>2706000</v>
      </c>
      <c r="T558" s="903">
        <f t="shared" si="74"/>
        <v>2292320.5310903341</v>
      </c>
    </row>
    <row r="559" spans="1:20" ht="16.5" customHeight="1">
      <c r="A559" s="708">
        <f t="shared" si="71"/>
        <v>27</v>
      </c>
      <c r="B559" s="291" t="s">
        <v>1474</v>
      </c>
      <c r="C559" s="724">
        <v>42632</v>
      </c>
      <c r="D559" s="725" t="s">
        <v>1300</v>
      </c>
      <c r="E559" s="803">
        <v>49</v>
      </c>
      <c r="F559" s="802">
        <v>38</v>
      </c>
      <c r="G559" s="802">
        <v>12</v>
      </c>
      <c r="H559" s="798">
        <f t="shared" si="66"/>
        <v>0.95</v>
      </c>
      <c r="I559" s="709">
        <v>300</v>
      </c>
      <c r="J559" s="709">
        <f t="shared" si="67"/>
        <v>285</v>
      </c>
      <c r="K559" s="709">
        <f t="shared" si="68"/>
        <v>11673.570112762354</v>
      </c>
      <c r="L559" s="626">
        <v>10500</v>
      </c>
      <c r="M559" s="626"/>
      <c r="N559" s="287"/>
      <c r="O559" s="700"/>
      <c r="S559" s="704">
        <f>I559*L559</f>
        <v>3150000</v>
      </c>
      <c r="T559" s="903">
        <f t="shared" si="74"/>
        <v>3502071.0338287065</v>
      </c>
    </row>
    <row r="560" spans="1:20" ht="16.5" customHeight="1">
      <c r="A560" s="708" t="str">
        <f>IF(B560&lt;&gt;"",#REF!+1,"")</f>
        <v/>
      </c>
      <c r="B560" s="737"/>
      <c r="C560" s="724"/>
      <c r="D560" s="725"/>
      <c r="E560" s="803"/>
      <c r="F560" s="802"/>
      <c r="G560" s="802"/>
      <c r="H560" s="709"/>
      <c r="I560" s="257"/>
      <c r="J560" s="709"/>
      <c r="K560" s="709"/>
      <c r="L560" s="626"/>
      <c r="M560" s="626"/>
      <c r="N560" s="287"/>
      <c r="O560" s="700"/>
      <c r="S560" s="729"/>
      <c r="T560" s="729"/>
    </row>
    <row r="561" spans="1:20" ht="16.5" customHeight="1">
      <c r="A561" s="710"/>
      <c r="B561" s="711" t="s">
        <v>243</v>
      </c>
      <c r="C561" s="730"/>
      <c r="D561" s="731"/>
      <c r="E561" s="796"/>
      <c r="F561" s="796"/>
      <c r="G561" s="796"/>
      <c r="H561" s="799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26"/>
      <c r="N561" s="287"/>
      <c r="O561" s="700"/>
      <c r="R561" s="922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29" customFormat="1" ht="15.75" customHeight="1">
      <c r="A562" s="712"/>
      <c r="B562" s="713"/>
      <c r="C562" s="700"/>
      <c r="D562" s="718"/>
      <c r="E562" s="800"/>
      <c r="F562" s="800"/>
      <c r="G562" s="800"/>
      <c r="H562" s="706"/>
      <c r="I562" s="706"/>
      <c r="J562" s="706"/>
      <c r="K562" s="706"/>
      <c r="L562" s="719"/>
      <c r="M562" s="626"/>
      <c r="N562" s="287"/>
      <c r="O562" s="700"/>
      <c r="P562" s="754"/>
      <c r="Q562" s="287"/>
      <c r="R562" s="922"/>
      <c r="S562" s="705"/>
      <c r="T562" s="705"/>
    </row>
    <row r="563" spans="1:20" s="705" customFormat="1" ht="15.75" hidden="1" customHeight="1">
      <c r="A563" s="535" t="str">
        <f>TH!$A$1</f>
        <v>Đơn vị: CÔNG TY TNHH SX TM KIM DUNG PHÁT</v>
      </c>
      <c r="C563" s="700"/>
      <c r="D563" s="718"/>
      <c r="E563" s="754"/>
      <c r="F563" s="754"/>
      <c r="G563" s="754"/>
      <c r="H563" s="287"/>
      <c r="I563" s="563"/>
      <c r="J563" s="563"/>
      <c r="K563" s="287"/>
      <c r="L563" s="719"/>
      <c r="M563" s="719"/>
      <c r="N563" s="287"/>
      <c r="O563" s="700"/>
      <c r="P563" s="754"/>
      <c r="Q563" s="287"/>
      <c r="R563" s="704"/>
      <c r="S563" s="704"/>
      <c r="T563" s="704"/>
    </row>
    <row r="564" spans="1:20" s="705" customFormat="1">
      <c r="A564" s="706" t="s">
        <v>746</v>
      </c>
      <c r="B564" s="706"/>
      <c r="C564" s="700"/>
      <c r="D564" s="718"/>
      <c r="E564" s="800"/>
      <c r="F564" s="800"/>
      <c r="G564" s="800"/>
      <c r="H564" s="706"/>
      <c r="I564" s="706"/>
      <c r="J564" s="706"/>
      <c r="K564" s="706"/>
      <c r="L564" s="719"/>
      <c r="M564" s="719"/>
      <c r="N564" s="287"/>
      <c r="O564" s="700"/>
      <c r="P564" s="754"/>
      <c r="Q564" s="287"/>
      <c r="R564" s="704"/>
      <c r="S564" s="704"/>
      <c r="T564" s="704"/>
    </row>
    <row r="565" spans="1:20" ht="18" customHeight="1">
      <c r="A565" s="706"/>
      <c r="B565" s="707"/>
      <c r="C565" s="700"/>
      <c r="E565" s="797"/>
      <c r="F565" s="797"/>
      <c r="G565" s="797"/>
      <c r="H565" s="707"/>
      <c r="I565" s="720"/>
      <c r="J565" s="720"/>
      <c r="K565" s="707"/>
      <c r="M565" s="719"/>
      <c r="N565" s="287"/>
      <c r="O565" s="700"/>
    </row>
    <row r="566" spans="1:20" ht="18.75" customHeight="1">
      <c r="A566" s="1138" t="s">
        <v>35</v>
      </c>
      <c r="B566" s="1138" t="s">
        <v>239</v>
      </c>
      <c r="C566" s="1138" t="s">
        <v>753</v>
      </c>
      <c r="D566" s="1138" t="s">
        <v>754</v>
      </c>
      <c r="E566" s="1139" t="s">
        <v>755</v>
      </c>
      <c r="F566" s="1140"/>
      <c r="G566" s="1140"/>
      <c r="H566" s="1141"/>
      <c r="I566" s="1138" t="s">
        <v>240</v>
      </c>
      <c r="J566" s="1145" t="s">
        <v>765</v>
      </c>
      <c r="K566" s="1138" t="s">
        <v>759</v>
      </c>
      <c r="L566" s="416"/>
      <c r="M566" s="719"/>
      <c r="N566" s="1138" t="s">
        <v>239</v>
      </c>
      <c r="O566" s="1138" t="s">
        <v>760</v>
      </c>
      <c r="P566" s="1138" t="s">
        <v>198</v>
      </c>
      <c r="Q566" s="1138" t="s">
        <v>241</v>
      </c>
      <c r="R566" s="1138" t="s">
        <v>242</v>
      </c>
      <c r="S566" s="417"/>
      <c r="T566" s="417"/>
    </row>
    <row r="567" spans="1:20" ht="18.75" customHeight="1">
      <c r="A567" s="1138"/>
      <c r="B567" s="1138"/>
      <c r="C567" s="1138"/>
      <c r="D567" s="1138"/>
      <c r="E567" s="756" t="s">
        <v>756</v>
      </c>
      <c r="F567" s="756" t="s">
        <v>757</v>
      </c>
      <c r="G567" s="756" t="s">
        <v>758</v>
      </c>
      <c r="H567" s="415" t="s">
        <v>763</v>
      </c>
      <c r="I567" s="1138"/>
      <c r="J567" s="1146"/>
      <c r="K567" s="1138"/>
      <c r="L567" s="416"/>
      <c r="M567" s="719"/>
      <c r="N567" s="1138"/>
      <c r="O567" s="1138"/>
      <c r="P567" s="1138"/>
      <c r="Q567" s="1138"/>
      <c r="R567" s="1138"/>
      <c r="S567" s="417"/>
      <c r="T567" s="417"/>
    </row>
    <row r="568" spans="1:20" s="417" customFormat="1" ht="17.25" customHeight="1">
      <c r="A568" s="708">
        <v>1</v>
      </c>
      <c r="B568" s="291" t="s">
        <v>1465</v>
      </c>
      <c r="C568" s="724">
        <v>42648</v>
      </c>
      <c r="D568" s="725" t="s">
        <v>1576</v>
      </c>
      <c r="E568" s="803">
        <v>41</v>
      </c>
      <c r="F568" s="802">
        <v>39</v>
      </c>
      <c r="G568" s="802">
        <v>20</v>
      </c>
      <c r="H568" s="798">
        <f t="shared" ref="H568" si="76">IF(G568&lt;&gt;"",ROUND(((E568+F568)*2+5)*(F568+G568+3)/10000,2),ROUND(E568*F568/10000,2))</f>
        <v>1.02</v>
      </c>
      <c r="I568" s="709">
        <v>50</v>
      </c>
      <c r="J568" s="709">
        <f t="shared" ref="J568" si="77">H568*I568</f>
        <v>51</v>
      </c>
      <c r="K568" s="709">
        <f t="shared" ref="K568:K610" si="78">H568*$R$599</f>
        <v>8605.1998042915038</v>
      </c>
      <c r="L568" s="626">
        <v>10900</v>
      </c>
      <c r="M568" s="416"/>
      <c r="N568" s="189" t="s">
        <v>706</v>
      </c>
      <c r="O568" s="726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4">
        <f>I568*L568</f>
        <v>545000</v>
      </c>
      <c r="T568" s="903">
        <f>I568*K568</f>
        <v>430259.9902145752</v>
      </c>
    </row>
    <row r="569" spans="1:20" s="417" customFormat="1" ht="17.25" customHeight="1">
      <c r="A569" s="708">
        <f t="shared" ref="A569:A715" si="80">IF(B569&lt;&gt;"",A568+1,"")</f>
        <v>2</v>
      </c>
      <c r="B569" s="291" t="s">
        <v>1334</v>
      </c>
      <c r="C569" s="724">
        <v>42649</v>
      </c>
      <c r="D569" s="725" t="s">
        <v>1333</v>
      </c>
      <c r="E569" s="803">
        <v>52.5</v>
      </c>
      <c r="F569" s="802">
        <v>30.5</v>
      </c>
      <c r="G569" s="802">
        <v>8.5</v>
      </c>
      <c r="H569" s="798">
        <f t="shared" ref="H569:H715" si="81">IF(G569&lt;&gt;"",ROUND(((E569+F569)*2+5)*(F569+G569+3)/10000,2),ROUND(E569*F569/10000,2))</f>
        <v>0.72</v>
      </c>
      <c r="I569" s="709">
        <v>1018</v>
      </c>
      <c r="J569" s="709">
        <f t="shared" ref="J569:J715" si="82">H569*I569</f>
        <v>732.95999999999992</v>
      </c>
      <c r="K569" s="709">
        <f t="shared" si="78"/>
        <v>6074.2586853822377</v>
      </c>
      <c r="L569" s="626">
        <v>7700</v>
      </c>
      <c r="M569" s="416"/>
      <c r="N569" s="291" t="s">
        <v>706</v>
      </c>
      <c r="O569" s="726">
        <v>42648</v>
      </c>
      <c r="P569" s="256">
        <v>10100</v>
      </c>
      <c r="Q569" s="256">
        <v>7300</v>
      </c>
      <c r="R569" s="8">
        <f t="shared" si="79"/>
        <v>73730000</v>
      </c>
      <c r="S569" s="704">
        <f t="shared" ref="S569:S632" si="83">I569*L569</f>
        <v>7838600</v>
      </c>
      <c r="T569" s="903">
        <f t="shared" ref="T569:T632" si="84">I569*K569</f>
        <v>6183595.3417191179</v>
      </c>
    </row>
    <row r="570" spans="1:20" ht="17.25" customHeight="1">
      <c r="A570" s="708">
        <f t="shared" si="80"/>
        <v>3</v>
      </c>
      <c r="B570" s="291" t="s">
        <v>1335</v>
      </c>
      <c r="C570" s="724">
        <v>42649</v>
      </c>
      <c r="D570" s="725" t="s">
        <v>1333</v>
      </c>
      <c r="E570" s="803">
        <v>33</v>
      </c>
      <c r="F570" s="802">
        <v>31</v>
      </c>
      <c r="G570" s="802">
        <v>9.1999999999999993</v>
      </c>
      <c r="H570" s="798">
        <f t="shared" si="81"/>
        <v>0.56999999999999995</v>
      </c>
      <c r="I570" s="709">
        <v>1020</v>
      </c>
      <c r="J570" s="709">
        <f t="shared" si="82"/>
        <v>581.4</v>
      </c>
      <c r="K570" s="709">
        <f t="shared" si="78"/>
        <v>4808.7881259276046</v>
      </c>
      <c r="L570" s="626">
        <v>6400</v>
      </c>
      <c r="M570" s="626"/>
      <c r="N570" s="291" t="s">
        <v>720</v>
      </c>
      <c r="O570" s="726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4">
        <f t="shared" si="83"/>
        <v>6528000</v>
      </c>
      <c r="T570" s="903">
        <f t="shared" si="84"/>
        <v>4904963.8884461569</v>
      </c>
    </row>
    <row r="571" spans="1:20" ht="17.25" customHeight="1">
      <c r="A571" s="708">
        <f t="shared" si="80"/>
        <v>4</v>
      </c>
      <c r="B571" s="291" t="s">
        <v>1286</v>
      </c>
      <c r="C571" s="724">
        <v>42651</v>
      </c>
      <c r="D571" s="725" t="s">
        <v>1336</v>
      </c>
      <c r="E571" s="803">
        <v>52</v>
      </c>
      <c r="F571" s="802">
        <v>24.5</v>
      </c>
      <c r="G571" s="802">
        <v>24.5</v>
      </c>
      <c r="H571" s="798">
        <f t="shared" si="81"/>
        <v>0.82</v>
      </c>
      <c r="I571" s="709">
        <v>926</v>
      </c>
      <c r="J571" s="709">
        <f t="shared" si="82"/>
        <v>759.31999999999994</v>
      </c>
      <c r="K571" s="709">
        <f t="shared" si="78"/>
        <v>6917.9057250186588</v>
      </c>
      <c r="L571" s="626">
        <v>5000</v>
      </c>
      <c r="M571" s="626"/>
      <c r="N571" s="291" t="s">
        <v>710</v>
      </c>
      <c r="O571" s="726">
        <v>42663</v>
      </c>
      <c r="P571" s="256">
        <v>8288</v>
      </c>
      <c r="Q571" s="256">
        <v>9000</v>
      </c>
      <c r="R571" s="8">
        <f t="shared" si="85"/>
        <v>74592000</v>
      </c>
      <c r="S571" s="704">
        <f t="shared" si="83"/>
        <v>4630000</v>
      </c>
      <c r="T571" s="903">
        <f t="shared" si="84"/>
        <v>6405980.7013672777</v>
      </c>
    </row>
    <row r="572" spans="1:20" ht="17.25" customHeight="1">
      <c r="A572" s="708">
        <f t="shared" si="80"/>
        <v>5</v>
      </c>
      <c r="B572" s="291" t="s">
        <v>1337</v>
      </c>
      <c r="C572" s="724">
        <v>42651</v>
      </c>
      <c r="D572" s="725" t="s">
        <v>854</v>
      </c>
      <c r="E572" s="803">
        <v>43</v>
      </c>
      <c r="F572" s="802">
        <v>42</v>
      </c>
      <c r="G572" s="802">
        <v>26</v>
      </c>
      <c r="H572" s="798">
        <f t="shared" si="81"/>
        <v>1.24</v>
      </c>
      <c r="I572" s="709">
        <v>140</v>
      </c>
      <c r="J572" s="709">
        <f t="shared" si="82"/>
        <v>173.6</v>
      </c>
      <c r="K572" s="709">
        <f t="shared" si="78"/>
        <v>10461.223291491631</v>
      </c>
      <c r="L572" s="626">
        <v>12400</v>
      </c>
      <c r="M572" s="626"/>
      <c r="N572" s="291" t="s">
        <v>710</v>
      </c>
      <c r="O572" s="726">
        <v>42675</v>
      </c>
      <c r="P572" s="256">
        <v>8778</v>
      </c>
      <c r="Q572" s="256">
        <v>9000</v>
      </c>
      <c r="R572" s="8">
        <f t="shared" si="85"/>
        <v>79002000</v>
      </c>
      <c r="S572" s="704">
        <f t="shared" si="83"/>
        <v>1736000</v>
      </c>
      <c r="T572" s="903">
        <f t="shared" si="84"/>
        <v>1464571.2608088283</v>
      </c>
    </row>
    <row r="573" spans="1:20" ht="17.25" customHeight="1">
      <c r="A573" s="708">
        <f t="shared" si="80"/>
        <v>6</v>
      </c>
      <c r="B573" s="291" t="s">
        <v>1338</v>
      </c>
      <c r="C573" s="724">
        <v>42651</v>
      </c>
      <c r="D573" s="725" t="s">
        <v>854</v>
      </c>
      <c r="E573" s="803">
        <v>49</v>
      </c>
      <c r="F573" s="802">
        <v>47</v>
      </c>
      <c r="G573" s="802">
        <v>27</v>
      </c>
      <c r="H573" s="798">
        <f t="shared" si="81"/>
        <v>1.52</v>
      </c>
      <c r="I573" s="709">
        <v>140</v>
      </c>
      <c r="J573" s="709">
        <f t="shared" si="82"/>
        <v>212.8</v>
      </c>
      <c r="K573" s="709">
        <f t="shared" si="78"/>
        <v>12823.435002473612</v>
      </c>
      <c r="L573" s="626">
        <v>14200</v>
      </c>
      <c r="M573" s="626"/>
      <c r="N573" s="291" t="s">
        <v>706</v>
      </c>
      <c r="O573" s="726">
        <v>42675</v>
      </c>
      <c r="P573" s="256">
        <v>10150</v>
      </c>
      <c r="Q573" s="256">
        <v>7300</v>
      </c>
      <c r="R573" s="8">
        <f t="shared" si="85"/>
        <v>74095000</v>
      </c>
      <c r="S573" s="704">
        <f t="shared" si="83"/>
        <v>1988000</v>
      </c>
      <c r="T573" s="903">
        <f t="shared" si="84"/>
        <v>1795280.9003463057</v>
      </c>
    </row>
    <row r="574" spans="1:20" ht="17.25" customHeight="1">
      <c r="A574" s="708">
        <f t="shared" si="80"/>
        <v>7</v>
      </c>
      <c r="B574" s="291" t="s">
        <v>1341</v>
      </c>
      <c r="C574" s="724">
        <v>42651</v>
      </c>
      <c r="D574" s="725" t="s">
        <v>854</v>
      </c>
      <c r="E574" s="803">
        <v>38</v>
      </c>
      <c r="F574" s="802">
        <v>37</v>
      </c>
      <c r="G574" s="802">
        <v>30</v>
      </c>
      <c r="H574" s="798">
        <f t="shared" si="81"/>
        <v>1.0900000000000001</v>
      </c>
      <c r="I574" s="709">
        <v>140</v>
      </c>
      <c r="J574" s="709">
        <f t="shared" si="82"/>
        <v>152.60000000000002</v>
      </c>
      <c r="K574" s="709">
        <f t="shared" si="78"/>
        <v>9195.7527320369991</v>
      </c>
      <c r="L574" s="626">
        <v>15300</v>
      </c>
      <c r="M574" s="626"/>
      <c r="N574" s="291" t="s">
        <v>884</v>
      </c>
      <c r="O574" s="726">
        <v>42689</v>
      </c>
      <c r="P574" s="256">
        <v>4777</v>
      </c>
      <c r="Q574" s="256">
        <v>8500</v>
      </c>
      <c r="R574" s="8">
        <f t="shared" si="85"/>
        <v>40604500</v>
      </c>
      <c r="S574" s="704">
        <f t="shared" si="83"/>
        <v>2142000</v>
      </c>
      <c r="T574" s="903">
        <f t="shared" si="84"/>
        <v>1287405.3824851799</v>
      </c>
    </row>
    <row r="575" spans="1:20" ht="17.25" customHeight="1">
      <c r="A575" s="708">
        <f t="shared" si="80"/>
        <v>8</v>
      </c>
      <c r="B575" s="291" t="s">
        <v>1339</v>
      </c>
      <c r="C575" s="724">
        <v>42651</v>
      </c>
      <c r="D575" s="725" t="s">
        <v>854</v>
      </c>
      <c r="E575" s="803">
        <v>40</v>
      </c>
      <c r="F575" s="802">
        <v>39</v>
      </c>
      <c r="G575" s="802">
        <v>32</v>
      </c>
      <c r="H575" s="798">
        <f t="shared" si="81"/>
        <v>1.21</v>
      </c>
      <c r="I575" s="709">
        <v>140</v>
      </c>
      <c r="J575" s="709">
        <f t="shared" si="82"/>
        <v>169.4</v>
      </c>
      <c r="K575" s="709">
        <f t="shared" si="78"/>
        <v>10208.129179600704</v>
      </c>
      <c r="L575" s="626">
        <v>16500</v>
      </c>
      <c r="M575" s="626"/>
      <c r="N575" s="189" t="s">
        <v>1279</v>
      </c>
      <c r="O575" s="726">
        <v>42689</v>
      </c>
      <c r="P575" s="256">
        <v>10008</v>
      </c>
      <c r="Q575" s="256">
        <v>8500</v>
      </c>
      <c r="R575" s="8">
        <f t="shared" si="85"/>
        <v>85068000</v>
      </c>
      <c r="S575" s="704">
        <f t="shared" si="83"/>
        <v>2310000</v>
      </c>
      <c r="T575" s="903">
        <f t="shared" si="84"/>
        <v>1429138.0851440986</v>
      </c>
    </row>
    <row r="576" spans="1:20" ht="17.25" customHeight="1">
      <c r="A576" s="708">
        <f t="shared" si="80"/>
        <v>9</v>
      </c>
      <c r="B576" s="291" t="s">
        <v>1340</v>
      </c>
      <c r="C576" s="724">
        <v>42651</v>
      </c>
      <c r="D576" s="725" t="s">
        <v>854</v>
      </c>
      <c r="E576" s="803">
        <v>42</v>
      </c>
      <c r="F576" s="802">
        <v>41</v>
      </c>
      <c r="G576" s="802">
        <v>34</v>
      </c>
      <c r="H576" s="798">
        <f t="shared" si="81"/>
        <v>1.33</v>
      </c>
      <c r="I576" s="709">
        <v>400</v>
      </c>
      <c r="J576" s="709">
        <f t="shared" si="82"/>
        <v>532</v>
      </c>
      <c r="K576" s="709">
        <f t="shared" si="78"/>
        <v>11220.505627164412</v>
      </c>
      <c r="L576" s="626">
        <v>19700</v>
      </c>
      <c r="M576" s="626"/>
      <c r="N576" s="189" t="s">
        <v>1276</v>
      </c>
      <c r="O576" s="726">
        <v>42699</v>
      </c>
      <c r="P576" s="256">
        <v>806</v>
      </c>
      <c r="Q576" s="256">
        <v>7600</v>
      </c>
      <c r="R576" s="8">
        <f t="shared" si="85"/>
        <v>6125600</v>
      </c>
      <c r="S576" s="704">
        <f t="shared" si="83"/>
        <v>7880000</v>
      </c>
      <c r="T576" s="903">
        <f t="shared" si="84"/>
        <v>4488202.2508657649</v>
      </c>
    </row>
    <row r="577" spans="1:20" ht="17.25" customHeight="1">
      <c r="A577" s="708">
        <f t="shared" si="80"/>
        <v>10</v>
      </c>
      <c r="B577" s="291" t="s">
        <v>1467</v>
      </c>
      <c r="C577" s="724">
        <v>42651</v>
      </c>
      <c r="D577" s="725" t="s">
        <v>854</v>
      </c>
      <c r="E577" s="803">
        <v>63</v>
      </c>
      <c r="F577" s="802">
        <v>53</v>
      </c>
      <c r="G577" s="802">
        <v>32</v>
      </c>
      <c r="H577" s="798">
        <f t="shared" si="81"/>
        <v>2.09</v>
      </c>
      <c r="I577" s="709">
        <v>100</v>
      </c>
      <c r="J577" s="709">
        <f t="shared" si="82"/>
        <v>209</v>
      </c>
      <c r="K577" s="709">
        <f t="shared" si="78"/>
        <v>17632.223128401216</v>
      </c>
      <c r="L577" s="626">
        <v>20100</v>
      </c>
      <c r="M577" s="626"/>
      <c r="N577" s="419" t="s">
        <v>1278</v>
      </c>
      <c r="O577" s="724">
        <v>42705</v>
      </c>
      <c r="P577" s="757">
        <v>6282</v>
      </c>
      <c r="Q577" s="743">
        <v>9200</v>
      </c>
      <c r="R577" s="8">
        <f t="shared" si="79"/>
        <v>57794400</v>
      </c>
      <c r="S577" s="704">
        <f t="shared" si="83"/>
        <v>2010000</v>
      </c>
      <c r="T577" s="903">
        <f t="shared" si="84"/>
        <v>1763222.3128401216</v>
      </c>
    </row>
    <row r="578" spans="1:20" ht="17.25" customHeight="1">
      <c r="A578" s="708">
        <f t="shared" si="80"/>
        <v>11</v>
      </c>
      <c r="B578" s="291" t="s">
        <v>1477</v>
      </c>
      <c r="C578" s="724">
        <v>42651</v>
      </c>
      <c r="D578" s="725" t="s">
        <v>854</v>
      </c>
      <c r="E578" s="803">
        <v>63</v>
      </c>
      <c r="F578" s="802">
        <v>53</v>
      </c>
      <c r="G578" s="802">
        <v>32</v>
      </c>
      <c r="H578" s="798">
        <f t="shared" si="81"/>
        <v>2.09</v>
      </c>
      <c r="I578" s="709">
        <v>170</v>
      </c>
      <c r="J578" s="709">
        <f t="shared" si="82"/>
        <v>355.29999999999995</v>
      </c>
      <c r="K578" s="709">
        <f t="shared" si="78"/>
        <v>17632.223128401216</v>
      </c>
      <c r="L578" s="626">
        <v>18300</v>
      </c>
      <c r="M578" s="626"/>
      <c r="N578" s="419" t="s">
        <v>1279</v>
      </c>
      <c r="O578" s="724">
        <v>42705</v>
      </c>
      <c r="P578" s="757">
        <v>4325</v>
      </c>
      <c r="Q578" s="743">
        <v>8500</v>
      </c>
      <c r="R578" s="8">
        <f t="shared" si="79"/>
        <v>36762500</v>
      </c>
      <c r="S578" s="704">
        <f t="shared" si="83"/>
        <v>3111000</v>
      </c>
      <c r="T578" s="903">
        <f t="shared" si="84"/>
        <v>2997477.9318282069</v>
      </c>
    </row>
    <row r="579" spans="1:20" ht="17.25" customHeight="1">
      <c r="A579" s="708">
        <f t="shared" si="80"/>
        <v>12</v>
      </c>
      <c r="B579" s="291" t="s">
        <v>1286</v>
      </c>
      <c r="C579" s="724">
        <v>42653</v>
      </c>
      <c r="D579" s="725" t="s">
        <v>1575</v>
      </c>
      <c r="E579" s="803">
        <v>52</v>
      </c>
      <c r="F579" s="802">
        <v>24.5</v>
      </c>
      <c r="G579" s="802">
        <v>24.5</v>
      </c>
      <c r="H579" s="798">
        <f t="shared" si="81"/>
        <v>0.82</v>
      </c>
      <c r="I579" s="709">
        <v>320</v>
      </c>
      <c r="J579" s="709">
        <f t="shared" si="82"/>
        <v>262.39999999999998</v>
      </c>
      <c r="K579" s="709">
        <f t="shared" si="78"/>
        <v>6917.9057250186588</v>
      </c>
      <c r="L579" s="626">
        <v>5000</v>
      </c>
      <c r="M579" s="626"/>
      <c r="N579" s="419" t="s">
        <v>1278</v>
      </c>
      <c r="O579" s="724">
        <v>42719</v>
      </c>
      <c r="P579" s="757">
        <v>1215</v>
      </c>
      <c r="Q579" s="743">
        <v>9200</v>
      </c>
      <c r="R579" s="8">
        <f t="shared" si="79"/>
        <v>11178000</v>
      </c>
      <c r="S579" s="704">
        <f t="shared" si="83"/>
        <v>1600000</v>
      </c>
      <c r="T579" s="903">
        <f t="shared" si="84"/>
        <v>2213729.8320059706</v>
      </c>
    </row>
    <row r="580" spans="1:20" ht="17.25" customHeight="1">
      <c r="A580" s="708">
        <f t="shared" si="80"/>
        <v>13</v>
      </c>
      <c r="B580" s="291" t="s">
        <v>471</v>
      </c>
      <c r="C580" s="724">
        <v>42653</v>
      </c>
      <c r="D580" s="725" t="s">
        <v>1575</v>
      </c>
      <c r="E580" s="803">
        <v>55</v>
      </c>
      <c r="F580" s="802">
        <v>45</v>
      </c>
      <c r="G580" s="802">
        <v>29</v>
      </c>
      <c r="H580" s="798">
        <f t="shared" si="81"/>
        <v>1.58</v>
      </c>
      <c r="I580" s="709">
        <v>659</v>
      </c>
      <c r="J580" s="709">
        <f t="shared" si="82"/>
        <v>1041.22</v>
      </c>
      <c r="K580" s="709">
        <f t="shared" si="78"/>
        <v>13329.623226255466</v>
      </c>
      <c r="L580" s="626">
        <v>9700</v>
      </c>
      <c r="M580" s="626"/>
      <c r="N580" s="419" t="s">
        <v>1281</v>
      </c>
      <c r="O580" s="724">
        <v>42719</v>
      </c>
      <c r="P580" s="757">
        <v>3085</v>
      </c>
      <c r="Q580" s="743">
        <v>9200</v>
      </c>
      <c r="R580" s="8">
        <f t="shared" si="79"/>
        <v>28382000</v>
      </c>
      <c r="S580" s="704">
        <f t="shared" si="83"/>
        <v>6392300</v>
      </c>
      <c r="T580" s="903">
        <f t="shared" si="84"/>
        <v>8784221.7061023526</v>
      </c>
    </row>
    <row r="581" spans="1:20" ht="17.25" customHeight="1">
      <c r="A581" s="708">
        <f t="shared" si="80"/>
        <v>14</v>
      </c>
      <c r="B581" s="291" t="s">
        <v>448</v>
      </c>
      <c r="C581" s="724">
        <v>42655</v>
      </c>
      <c r="D581" s="725" t="s">
        <v>1342</v>
      </c>
      <c r="E581" s="803">
        <v>103</v>
      </c>
      <c r="F581" s="802">
        <v>50</v>
      </c>
      <c r="G581" s="802">
        <v>180</v>
      </c>
      <c r="H581" s="798">
        <f t="shared" si="81"/>
        <v>7.25</v>
      </c>
      <c r="I581" s="709">
        <v>150</v>
      </c>
      <c r="J581" s="709">
        <f t="shared" si="82"/>
        <v>1087.5</v>
      </c>
      <c r="K581" s="709">
        <f t="shared" si="78"/>
        <v>61164.410373640589</v>
      </c>
      <c r="L581" s="626">
        <v>47449</v>
      </c>
      <c r="M581" s="626"/>
      <c r="N581" s="419"/>
      <c r="O581" s="724"/>
      <c r="P581" s="757"/>
      <c r="Q581" s="743"/>
      <c r="R581" s="8"/>
      <c r="S581" s="704">
        <f t="shared" si="83"/>
        <v>7117350</v>
      </c>
      <c r="T581" s="903">
        <f t="shared" si="84"/>
        <v>9174661.5560460892</v>
      </c>
    </row>
    <row r="582" spans="1:20" ht="17.25" customHeight="1">
      <c r="A582" s="708">
        <f t="shared" si="80"/>
        <v>15</v>
      </c>
      <c r="B582" s="291" t="s">
        <v>1474</v>
      </c>
      <c r="C582" s="724">
        <v>42656</v>
      </c>
      <c r="D582" s="725" t="s">
        <v>1343</v>
      </c>
      <c r="E582" s="803">
        <v>49</v>
      </c>
      <c r="F582" s="802">
        <v>38</v>
      </c>
      <c r="G582" s="802">
        <v>12</v>
      </c>
      <c r="H582" s="798">
        <f t="shared" si="81"/>
        <v>0.95</v>
      </c>
      <c r="I582" s="709">
        <v>520</v>
      </c>
      <c r="J582" s="709">
        <f t="shared" si="82"/>
        <v>494</v>
      </c>
      <c r="K582" s="709">
        <f t="shared" si="78"/>
        <v>8014.6468765460077</v>
      </c>
      <c r="L582" s="626">
        <v>10500</v>
      </c>
      <c r="M582" s="626"/>
      <c r="N582" s="794" t="s">
        <v>747</v>
      </c>
      <c r="O582" s="795"/>
      <c r="P582" s="796"/>
      <c r="Q582" s="503"/>
      <c r="R582" s="503">
        <f>SUM(R568:R581)</f>
        <v>689526000</v>
      </c>
      <c r="S582" s="704">
        <f t="shared" si="83"/>
        <v>5460000</v>
      </c>
      <c r="T582" s="903">
        <f t="shared" si="84"/>
        <v>4167616.3758039242</v>
      </c>
    </row>
    <row r="583" spans="1:20" ht="17.25" customHeight="1">
      <c r="A583" s="708">
        <f t="shared" si="80"/>
        <v>16</v>
      </c>
      <c r="B583" s="291" t="s">
        <v>1344</v>
      </c>
      <c r="C583" s="724">
        <v>42656</v>
      </c>
      <c r="D583" s="725" t="s">
        <v>1343</v>
      </c>
      <c r="E583" s="803">
        <v>35</v>
      </c>
      <c r="F583" s="802">
        <v>21</v>
      </c>
      <c r="G583" s="802">
        <v>23</v>
      </c>
      <c r="H583" s="798">
        <f t="shared" si="81"/>
        <v>0.55000000000000004</v>
      </c>
      <c r="I583" s="709">
        <v>50</v>
      </c>
      <c r="J583" s="709">
        <f t="shared" si="82"/>
        <v>27.500000000000004</v>
      </c>
      <c r="K583" s="709">
        <f t="shared" si="78"/>
        <v>4640.0587180003204</v>
      </c>
      <c r="L583" s="626">
        <v>5000</v>
      </c>
      <c r="M583" s="626"/>
      <c r="N583" s="291" t="s">
        <v>888</v>
      </c>
      <c r="O583" s="724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4">
        <f t="shared" si="83"/>
        <v>250000</v>
      </c>
      <c r="T583" s="903">
        <f t="shared" si="84"/>
        <v>232002.93590001602</v>
      </c>
    </row>
    <row r="584" spans="1:20" ht="17.25" customHeight="1">
      <c r="A584" s="708">
        <f t="shared" si="80"/>
        <v>17</v>
      </c>
      <c r="B584" s="291" t="s">
        <v>1346</v>
      </c>
      <c r="C584" s="724">
        <v>42656</v>
      </c>
      <c r="D584" s="725" t="s">
        <v>1345</v>
      </c>
      <c r="E584" s="803">
        <v>23.5</v>
      </c>
      <c r="F584" s="802">
        <v>23.5</v>
      </c>
      <c r="G584" s="802">
        <v>30.5</v>
      </c>
      <c r="H584" s="798">
        <f t="shared" si="81"/>
        <v>0.56000000000000005</v>
      </c>
      <c r="I584" s="709">
        <v>996</v>
      </c>
      <c r="J584" s="709">
        <f t="shared" si="82"/>
        <v>557.7600000000001</v>
      </c>
      <c r="K584" s="709">
        <f t="shared" si="78"/>
        <v>4724.4234219639629</v>
      </c>
      <c r="L584" s="626">
        <v>6700</v>
      </c>
      <c r="M584" s="626"/>
      <c r="N584" s="189" t="s">
        <v>888</v>
      </c>
      <c r="O584" s="726">
        <v>42689</v>
      </c>
      <c r="P584" s="256">
        <v>600</v>
      </c>
      <c r="Q584" s="256">
        <v>19000</v>
      </c>
      <c r="R584" s="8">
        <f t="shared" si="86"/>
        <v>11400000</v>
      </c>
      <c r="S584" s="704">
        <f t="shared" si="83"/>
        <v>6673200</v>
      </c>
      <c r="T584" s="903">
        <f t="shared" si="84"/>
        <v>4705525.7282761075</v>
      </c>
    </row>
    <row r="585" spans="1:20" ht="17.25" customHeight="1">
      <c r="A585" s="708">
        <f t="shared" si="80"/>
        <v>18</v>
      </c>
      <c r="B585" s="291" t="s">
        <v>1348</v>
      </c>
      <c r="C585" s="724">
        <v>42661</v>
      </c>
      <c r="D585" s="725" t="s">
        <v>1347</v>
      </c>
      <c r="E585" s="803">
        <v>36.5</v>
      </c>
      <c r="F585" s="802">
        <v>26.5</v>
      </c>
      <c r="G585" s="802">
        <v>26</v>
      </c>
      <c r="H585" s="798">
        <f t="shared" si="81"/>
        <v>0.73</v>
      </c>
      <c r="I585" s="709">
        <v>510</v>
      </c>
      <c r="J585" s="709">
        <f t="shared" si="82"/>
        <v>372.3</v>
      </c>
      <c r="K585" s="709">
        <f t="shared" si="78"/>
        <v>6158.6233893458793</v>
      </c>
      <c r="L585" s="626">
        <v>11000</v>
      </c>
      <c r="M585" s="626"/>
      <c r="N585" s="189" t="s">
        <v>844</v>
      </c>
      <c r="O585" s="724">
        <v>42644</v>
      </c>
      <c r="P585" s="256">
        <v>150</v>
      </c>
      <c r="Q585" s="256">
        <v>19545</v>
      </c>
      <c r="R585" s="8">
        <f t="shared" si="86"/>
        <v>2931750</v>
      </c>
      <c r="S585" s="704">
        <f t="shared" si="83"/>
        <v>5610000</v>
      </c>
      <c r="T585" s="903">
        <f t="shared" si="84"/>
        <v>3140897.9285663986</v>
      </c>
    </row>
    <row r="586" spans="1:20" ht="17.25" customHeight="1">
      <c r="A586" s="708">
        <f t="shared" si="80"/>
        <v>19</v>
      </c>
      <c r="B586" s="291" t="s">
        <v>1351</v>
      </c>
      <c r="C586" s="724">
        <v>42661</v>
      </c>
      <c r="D586" s="725" t="s">
        <v>1349</v>
      </c>
      <c r="E586" s="803">
        <v>58</v>
      </c>
      <c r="F586" s="802">
        <v>38</v>
      </c>
      <c r="G586" s="802"/>
      <c r="H586" s="798">
        <f t="shared" si="81"/>
        <v>0.22</v>
      </c>
      <c r="I586" s="709">
        <v>5070</v>
      </c>
      <c r="J586" s="709">
        <f t="shared" si="82"/>
        <v>1115.4000000000001</v>
      </c>
      <c r="K586" s="709">
        <f t="shared" si="78"/>
        <v>1856.0234872001281</v>
      </c>
      <c r="L586" s="626">
        <v>1102</v>
      </c>
      <c r="M586" s="626"/>
      <c r="N586" s="189"/>
      <c r="O586" s="724"/>
      <c r="P586" s="256"/>
      <c r="Q586" s="256"/>
      <c r="R586" s="8">
        <f t="shared" si="86"/>
        <v>0</v>
      </c>
      <c r="S586" s="704">
        <f t="shared" si="83"/>
        <v>5587140</v>
      </c>
      <c r="T586" s="903">
        <f t="shared" si="84"/>
        <v>9410039.0801046491</v>
      </c>
    </row>
    <row r="587" spans="1:20" ht="17.25" customHeight="1">
      <c r="A587" s="708">
        <f t="shared" si="80"/>
        <v>20</v>
      </c>
      <c r="B587" s="291" t="s">
        <v>1352</v>
      </c>
      <c r="C587" s="724">
        <v>42661</v>
      </c>
      <c r="D587" s="725" t="s">
        <v>1349</v>
      </c>
      <c r="E587" s="803">
        <v>100</v>
      </c>
      <c r="F587" s="802">
        <v>150</v>
      </c>
      <c r="G587" s="802"/>
      <c r="H587" s="798">
        <f t="shared" si="81"/>
        <v>1.5</v>
      </c>
      <c r="I587" s="709">
        <v>500</v>
      </c>
      <c r="J587" s="709">
        <f t="shared" si="82"/>
        <v>750</v>
      </c>
      <c r="K587" s="709">
        <f t="shared" si="78"/>
        <v>12654.705594546329</v>
      </c>
      <c r="L587" s="626">
        <v>7500</v>
      </c>
      <c r="M587" s="626"/>
      <c r="N587" s="419"/>
      <c r="O587" s="724"/>
      <c r="P587" s="757"/>
      <c r="Q587" s="743"/>
      <c r="R587" s="8"/>
      <c r="S587" s="704">
        <f t="shared" si="83"/>
        <v>3750000</v>
      </c>
      <c r="T587" s="903">
        <f t="shared" si="84"/>
        <v>6327352.7972731646</v>
      </c>
    </row>
    <row r="588" spans="1:20" ht="17.25" customHeight="1">
      <c r="A588" s="708">
        <f t="shared" si="80"/>
        <v>21</v>
      </c>
      <c r="B588" s="291" t="s">
        <v>1356</v>
      </c>
      <c r="C588" s="724">
        <v>42661</v>
      </c>
      <c r="D588" s="725" t="s">
        <v>1353</v>
      </c>
      <c r="E588" s="803">
        <v>36</v>
      </c>
      <c r="F588" s="802">
        <v>30</v>
      </c>
      <c r="G588" s="802">
        <v>23</v>
      </c>
      <c r="H588" s="798">
        <f t="shared" si="81"/>
        <v>0.77</v>
      </c>
      <c r="I588" s="709">
        <v>400</v>
      </c>
      <c r="J588" s="709">
        <f t="shared" si="82"/>
        <v>308</v>
      </c>
      <c r="K588" s="709">
        <f t="shared" si="78"/>
        <v>6496.0822052004487</v>
      </c>
      <c r="L588" s="626">
        <v>9500</v>
      </c>
      <c r="M588" s="626"/>
      <c r="N588" s="794" t="s">
        <v>748</v>
      </c>
      <c r="O588" s="795"/>
      <c r="P588" s="796"/>
      <c r="Q588" s="503"/>
      <c r="R588" s="503">
        <f>SUM(R583:R587)</f>
        <v>29531750</v>
      </c>
      <c r="S588" s="704">
        <f t="shared" si="83"/>
        <v>3800000</v>
      </c>
      <c r="T588" s="903">
        <f t="shared" si="84"/>
        <v>2598432.8820801796</v>
      </c>
    </row>
    <row r="589" spans="1:20" ht="17.25" customHeight="1">
      <c r="A589" s="708">
        <f t="shared" si="80"/>
        <v>22</v>
      </c>
      <c r="B589" s="291" t="s">
        <v>1357</v>
      </c>
      <c r="C589" s="724">
        <v>42661</v>
      </c>
      <c r="D589" s="725" t="s">
        <v>1353</v>
      </c>
      <c r="E589" s="803">
        <v>38</v>
      </c>
      <c r="F589" s="802">
        <v>38</v>
      </c>
      <c r="G589" s="802">
        <v>23</v>
      </c>
      <c r="H589" s="798">
        <f t="shared" si="81"/>
        <v>1</v>
      </c>
      <c r="I589" s="709">
        <v>338</v>
      </c>
      <c r="J589" s="709">
        <f t="shared" si="82"/>
        <v>338</v>
      </c>
      <c r="K589" s="709">
        <f t="shared" si="78"/>
        <v>8436.4703963642187</v>
      </c>
      <c r="L589" s="626">
        <v>11000</v>
      </c>
      <c r="M589" s="626"/>
      <c r="N589" s="419" t="s">
        <v>749</v>
      </c>
      <c r="O589" s="724"/>
      <c r="P589" s="757"/>
      <c r="Q589" s="743"/>
      <c r="R589" s="8">
        <f>R582</f>
        <v>689526000</v>
      </c>
      <c r="S589" s="704">
        <f t="shared" si="83"/>
        <v>3718000</v>
      </c>
      <c r="T589" s="903">
        <f t="shared" si="84"/>
        <v>2851526.9939711061</v>
      </c>
    </row>
    <row r="590" spans="1:20" ht="17.25" customHeight="1">
      <c r="A590" s="708">
        <f t="shared" si="80"/>
        <v>23</v>
      </c>
      <c r="B590" s="291" t="s">
        <v>1358</v>
      </c>
      <c r="C590" s="724">
        <v>42661</v>
      </c>
      <c r="D590" s="725" t="s">
        <v>1353</v>
      </c>
      <c r="E590" s="803">
        <v>31</v>
      </c>
      <c r="F590" s="802">
        <v>30</v>
      </c>
      <c r="G590" s="802">
        <v>21.5</v>
      </c>
      <c r="H590" s="798">
        <f t="shared" si="81"/>
        <v>0.69</v>
      </c>
      <c r="I590" s="709">
        <v>400</v>
      </c>
      <c r="J590" s="709">
        <f t="shared" si="82"/>
        <v>276</v>
      </c>
      <c r="K590" s="709">
        <f t="shared" si="78"/>
        <v>5821.1645734913109</v>
      </c>
      <c r="L590" s="626">
        <v>7200</v>
      </c>
      <c r="M590" s="626"/>
      <c r="N590" s="419" t="s">
        <v>750</v>
      </c>
      <c r="O590" s="724"/>
      <c r="P590" s="757"/>
      <c r="Q590" s="743"/>
      <c r="R590" s="8">
        <f>R588</f>
        <v>29531750</v>
      </c>
      <c r="S590" s="704">
        <f t="shared" si="83"/>
        <v>2880000</v>
      </c>
      <c r="T590" s="903">
        <f t="shared" si="84"/>
        <v>2328465.8293965245</v>
      </c>
    </row>
    <row r="591" spans="1:20" ht="17.25" customHeight="1">
      <c r="A591" s="708">
        <f t="shared" si="80"/>
        <v>24</v>
      </c>
      <c r="B591" s="291" t="s">
        <v>1360</v>
      </c>
      <c r="C591" s="724">
        <v>42661</v>
      </c>
      <c r="D591" s="725" t="s">
        <v>1355</v>
      </c>
      <c r="E591" s="803">
        <v>28</v>
      </c>
      <c r="F591" s="802">
        <v>28</v>
      </c>
      <c r="G591" s="802">
        <v>33.5</v>
      </c>
      <c r="H591" s="798">
        <f t="shared" si="81"/>
        <v>0.75</v>
      </c>
      <c r="I591" s="709">
        <v>203</v>
      </c>
      <c r="J591" s="709">
        <f t="shared" si="82"/>
        <v>152.25</v>
      </c>
      <c r="K591" s="709">
        <f t="shared" si="78"/>
        <v>6327.3527972731645</v>
      </c>
      <c r="L591" s="626">
        <v>8400</v>
      </c>
      <c r="M591" s="626"/>
      <c r="N591" s="419" t="s">
        <v>752</v>
      </c>
      <c r="O591" s="724"/>
      <c r="P591" s="757"/>
      <c r="Q591" s="743"/>
      <c r="R591" s="8"/>
      <c r="S591" s="704">
        <f t="shared" si="83"/>
        <v>1705200</v>
      </c>
      <c r="T591" s="903">
        <f t="shared" si="84"/>
        <v>1284452.6178464524</v>
      </c>
    </row>
    <row r="592" spans="1:20" ht="17.25" customHeight="1">
      <c r="A592" s="708">
        <f t="shared" si="80"/>
        <v>25</v>
      </c>
      <c r="B592" s="291" t="s">
        <v>511</v>
      </c>
      <c r="C592" s="724">
        <v>42661</v>
      </c>
      <c r="D592" s="725" t="s">
        <v>1355</v>
      </c>
      <c r="E592" s="803">
        <v>28</v>
      </c>
      <c r="F592" s="802">
        <v>28</v>
      </c>
      <c r="G592" s="802">
        <v>40</v>
      </c>
      <c r="H592" s="798">
        <f t="shared" si="81"/>
        <v>0.83</v>
      </c>
      <c r="I592" s="709">
        <v>200</v>
      </c>
      <c r="J592" s="709">
        <f t="shared" si="82"/>
        <v>166</v>
      </c>
      <c r="K592" s="709">
        <f t="shared" si="78"/>
        <v>7002.2704289823014</v>
      </c>
      <c r="L592" s="626">
        <v>6600</v>
      </c>
      <c r="M592" s="626"/>
      <c r="N592" s="419" t="s">
        <v>751</v>
      </c>
      <c r="O592" s="724"/>
      <c r="P592" s="757"/>
      <c r="Q592" s="743"/>
      <c r="R592" s="8">
        <v>6250000</v>
      </c>
      <c r="S592" s="704">
        <f t="shared" si="83"/>
        <v>1320000</v>
      </c>
      <c r="T592" s="903">
        <f t="shared" si="84"/>
        <v>1400454.0857964603</v>
      </c>
    </row>
    <row r="593" spans="1:20" ht="17.25" customHeight="1">
      <c r="A593" s="708">
        <f t="shared" si="80"/>
        <v>26</v>
      </c>
      <c r="B593" s="291" t="s">
        <v>1358</v>
      </c>
      <c r="C593" s="724">
        <v>42662</v>
      </c>
      <c r="D593" s="725" t="s">
        <v>1361</v>
      </c>
      <c r="E593" s="803">
        <v>31</v>
      </c>
      <c r="F593" s="802">
        <v>30</v>
      </c>
      <c r="G593" s="802">
        <v>21.5</v>
      </c>
      <c r="H593" s="798">
        <f t="shared" si="81"/>
        <v>0.69</v>
      </c>
      <c r="I593" s="709">
        <v>934</v>
      </c>
      <c r="J593" s="709">
        <f t="shared" si="82"/>
        <v>644.45999999999992</v>
      </c>
      <c r="K593" s="709">
        <f t="shared" si="78"/>
        <v>5821.1645734913109</v>
      </c>
      <c r="L593" s="626">
        <v>7200</v>
      </c>
      <c r="M593" s="626"/>
      <c r="N593" s="419" t="s">
        <v>764</v>
      </c>
      <c r="O593" s="724"/>
      <c r="P593" s="757"/>
      <c r="Q593" s="743"/>
      <c r="R593" s="8">
        <v>48555000</v>
      </c>
      <c r="S593" s="704">
        <f t="shared" si="83"/>
        <v>6724800</v>
      </c>
      <c r="T593" s="903">
        <f t="shared" si="84"/>
        <v>5436967.7116408842</v>
      </c>
    </row>
    <row r="594" spans="1:20" ht="17.25" customHeight="1">
      <c r="A594" s="708">
        <f t="shared" si="80"/>
        <v>27</v>
      </c>
      <c r="B594" s="291" t="s">
        <v>1287</v>
      </c>
      <c r="C594" s="724">
        <v>42662</v>
      </c>
      <c r="D594" s="725" t="s">
        <v>1362</v>
      </c>
      <c r="E594" s="803">
        <v>52</v>
      </c>
      <c r="F594" s="802">
        <v>26.5</v>
      </c>
      <c r="G594" s="802">
        <v>26.5</v>
      </c>
      <c r="H594" s="798">
        <f t="shared" si="81"/>
        <v>0.91</v>
      </c>
      <c r="I594" s="709">
        <v>617</v>
      </c>
      <c r="J594" s="709">
        <f t="shared" si="82"/>
        <v>561.47</v>
      </c>
      <c r="K594" s="709">
        <f t="shared" si="78"/>
        <v>7677.1880606914392</v>
      </c>
      <c r="L594" s="626">
        <v>5550</v>
      </c>
      <c r="M594" s="626"/>
      <c r="N594" s="291"/>
      <c r="O594" s="724"/>
      <c r="P594" s="757"/>
      <c r="Q594" s="743"/>
      <c r="R594" s="8"/>
      <c r="S594" s="704">
        <f t="shared" si="83"/>
        <v>3424350</v>
      </c>
      <c r="T594" s="903">
        <f t="shared" si="84"/>
        <v>4736825.0334466184</v>
      </c>
    </row>
    <row r="595" spans="1:20" ht="17.25" customHeight="1">
      <c r="A595" s="708">
        <f t="shared" si="80"/>
        <v>28</v>
      </c>
      <c r="B595" s="291" t="s">
        <v>656</v>
      </c>
      <c r="C595" s="724">
        <v>42662</v>
      </c>
      <c r="D595" s="725" t="s">
        <v>1362</v>
      </c>
      <c r="E595" s="803">
        <v>52</v>
      </c>
      <c r="F595" s="802">
        <v>43</v>
      </c>
      <c r="G595" s="802">
        <v>30</v>
      </c>
      <c r="H595" s="798">
        <f t="shared" si="81"/>
        <v>1.48</v>
      </c>
      <c r="I595" s="709">
        <v>322</v>
      </c>
      <c r="J595" s="709">
        <f t="shared" si="82"/>
        <v>476.56</v>
      </c>
      <c r="K595" s="709">
        <f t="shared" si="78"/>
        <v>12485.976186619044</v>
      </c>
      <c r="L595" s="626">
        <v>9290</v>
      </c>
      <c r="M595" s="626"/>
      <c r="N595" s="419"/>
      <c r="O595" s="724"/>
      <c r="P595" s="757"/>
      <c r="Q595" s="743"/>
      <c r="R595" s="8"/>
      <c r="S595" s="704">
        <f t="shared" si="83"/>
        <v>2991380</v>
      </c>
      <c r="T595" s="903">
        <f t="shared" si="84"/>
        <v>4020484.3320913319</v>
      </c>
    </row>
    <row r="596" spans="1:20" ht="17.25" customHeight="1">
      <c r="A596" s="708">
        <f t="shared" si="80"/>
        <v>29</v>
      </c>
      <c r="B596" s="291" t="s">
        <v>1472</v>
      </c>
      <c r="C596" s="724">
        <v>42664</v>
      </c>
      <c r="D596" s="725" t="s">
        <v>1363</v>
      </c>
      <c r="E596" s="803">
        <v>23</v>
      </c>
      <c r="F596" s="802">
        <v>23</v>
      </c>
      <c r="G596" s="802">
        <v>18</v>
      </c>
      <c r="H596" s="798">
        <f t="shared" si="81"/>
        <v>0.43</v>
      </c>
      <c r="I596" s="709">
        <v>1800</v>
      </c>
      <c r="J596" s="709">
        <f t="shared" si="82"/>
        <v>774</v>
      </c>
      <c r="K596" s="709">
        <f t="shared" si="78"/>
        <v>3627.6822704366141</v>
      </c>
      <c r="L596" s="626">
        <v>3970</v>
      </c>
      <c r="M596" s="626"/>
      <c r="N596" s="794" t="s">
        <v>761</v>
      </c>
      <c r="O596" s="795"/>
      <c r="P596" s="796"/>
      <c r="Q596" s="503"/>
      <c r="R596" s="503">
        <f>SUM(R589:R595)</f>
        <v>773862750</v>
      </c>
      <c r="S596" s="704">
        <f t="shared" si="83"/>
        <v>7146000</v>
      </c>
      <c r="T596" s="903">
        <f t="shared" si="84"/>
        <v>6529828.0867859051</v>
      </c>
    </row>
    <row r="597" spans="1:20" ht="17.25" customHeight="1">
      <c r="A597" s="708">
        <f t="shared" si="80"/>
        <v>30</v>
      </c>
      <c r="B597" s="291" t="s">
        <v>1338</v>
      </c>
      <c r="C597" s="724">
        <v>42664</v>
      </c>
      <c r="D597" s="725" t="s">
        <v>1363</v>
      </c>
      <c r="E597" s="803">
        <v>49</v>
      </c>
      <c r="F597" s="802">
        <v>47</v>
      </c>
      <c r="G597" s="802">
        <v>27</v>
      </c>
      <c r="H597" s="798">
        <f t="shared" si="81"/>
        <v>1.52</v>
      </c>
      <c r="I597" s="709">
        <v>30</v>
      </c>
      <c r="J597" s="709">
        <f t="shared" si="82"/>
        <v>45.6</v>
      </c>
      <c r="K597" s="709">
        <f t="shared" si="78"/>
        <v>12823.435002473612</v>
      </c>
      <c r="L597" s="626">
        <v>12400</v>
      </c>
      <c r="M597" s="626"/>
      <c r="N597" s="420"/>
      <c r="O597" s="732"/>
      <c r="P597" s="758"/>
      <c r="Q597" s="722"/>
      <c r="R597" s="734"/>
      <c r="S597" s="704">
        <f t="shared" si="83"/>
        <v>372000</v>
      </c>
      <c r="T597" s="903">
        <f t="shared" si="84"/>
        <v>384703.05007420835</v>
      </c>
    </row>
    <row r="598" spans="1:20" ht="17.25" customHeight="1">
      <c r="A598" s="708">
        <f t="shared" si="80"/>
        <v>31</v>
      </c>
      <c r="B598" s="291" t="s">
        <v>1338</v>
      </c>
      <c r="C598" s="724">
        <v>42664</v>
      </c>
      <c r="D598" s="725" t="s">
        <v>1363</v>
      </c>
      <c r="E598" s="803">
        <v>49</v>
      </c>
      <c r="F598" s="802">
        <v>47</v>
      </c>
      <c r="G598" s="802">
        <v>27</v>
      </c>
      <c r="H598" s="798">
        <f t="shared" si="81"/>
        <v>1.52</v>
      </c>
      <c r="I598" s="709">
        <v>30</v>
      </c>
      <c r="J598" s="709">
        <f t="shared" si="82"/>
        <v>45.6</v>
      </c>
      <c r="K598" s="709">
        <f t="shared" si="78"/>
        <v>12823.435002473612</v>
      </c>
      <c r="L598" s="626">
        <v>14200</v>
      </c>
      <c r="M598" s="626"/>
      <c r="N598" s="420"/>
      <c r="O598" s="732"/>
      <c r="P598" s="758"/>
      <c r="Q598" s="722"/>
      <c r="R598" s="734"/>
      <c r="S598" s="704">
        <f t="shared" si="83"/>
        <v>426000</v>
      </c>
      <c r="T598" s="903">
        <f t="shared" si="84"/>
        <v>384703.05007420835</v>
      </c>
    </row>
    <row r="599" spans="1:20" ht="17.25" customHeight="1">
      <c r="A599" s="708">
        <f t="shared" si="80"/>
        <v>32</v>
      </c>
      <c r="B599" s="291" t="s">
        <v>1341</v>
      </c>
      <c r="C599" s="724">
        <v>42664</v>
      </c>
      <c r="D599" s="725" t="s">
        <v>1363</v>
      </c>
      <c r="E599" s="803">
        <v>38</v>
      </c>
      <c r="F599" s="802">
        <v>37</v>
      </c>
      <c r="G599" s="802">
        <v>30</v>
      </c>
      <c r="H599" s="798">
        <f t="shared" si="81"/>
        <v>1.0900000000000001</v>
      </c>
      <c r="I599" s="709">
        <v>30</v>
      </c>
      <c r="J599" s="709">
        <f t="shared" si="82"/>
        <v>32.700000000000003</v>
      </c>
      <c r="K599" s="709">
        <f t="shared" si="78"/>
        <v>9195.7527320369991</v>
      </c>
      <c r="L599" s="626">
        <v>15300</v>
      </c>
      <c r="M599" s="626"/>
      <c r="N599" s="1142" t="s">
        <v>762</v>
      </c>
      <c r="O599" s="1143"/>
      <c r="P599" s="1143"/>
      <c r="Q599" s="1144"/>
      <c r="R599" s="799">
        <f>R596/J717</f>
        <v>8436.4703963642187</v>
      </c>
      <c r="S599" s="704">
        <f t="shared" si="83"/>
        <v>459000</v>
      </c>
      <c r="T599" s="903">
        <f t="shared" si="84"/>
        <v>275872.58196111</v>
      </c>
    </row>
    <row r="600" spans="1:20" s="729" customFormat="1" ht="17.25" customHeight="1">
      <c r="A600" s="708">
        <f t="shared" si="80"/>
        <v>33</v>
      </c>
      <c r="B600" s="291" t="s">
        <v>1339</v>
      </c>
      <c r="C600" s="724">
        <v>42664</v>
      </c>
      <c r="D600" s="725" t="s">
        <v>1363</v>
      </c>
      <c r="E600" s="803">
        <v>40</v>
      </c>
      <c r="F600" s="802">
        <v>39</v>
      </c>
      <c r="G600" s="802">
        <v>32</v>
      </c>
      <c r="H600" s="798">
        <f t="shared" si="81"/>
        <v>1.21</v>
      </c>
      <c r="I600" s="709">
        <v>30</v>
      </c>
      <c r="J600" s="709">
        <f t="shared" si="82"/>
        <v>36.299999999999997</v>
      </c>
      <c r="K600" s="709">
        <f t="shared" si="78"/>
        <v>10208.129179600704</v>
      </c>
      <c r="L600" s="626">
        <v>16500</v>
      </c>
      <c r="M600" s="626"/>
      <c r="N600" s="704"/>
      <c r="O600" s="717"/>
      <c r="P600" s="754"/>
      <c r="Q600" s="287"/>
      <c r="R600" s="704"/>
      <c r="S600" s="704">
        <f t="shared" si="83"/>
        <v>495000</v>
      </c>
      <c r="T600" s="903">
        <f t="shared" si="84"/>
        <v>306243.87538802112</v>
      </c>
    </row>
    <row r="601" spans="1:20" s="705" customFormat="1" ht="17.25" customHeight="1">
      <c r="A601" s="708">
        <f t="shared" si="80"/>
        <v>34</v>
      </c>
      <c r="B601" s="291" t="s">
        <v>1340</v>
      </c>
      <c r="C601" s="724">
        <v>42664</v>
      </c>
      <c r="D601" s="725" t="s">
        <v>1363</v>
      </c>
      <c r="E601" s="803">
        <v>42</v>
      </c>
      <c r="F601" s="802">
        <v>41</v>
      </c>
      <c r="G601" s="802">
        <v>34</v>
      </c>
      <c r="H601" s="798">
        <f t="shared" si="81"/>
        <v>1.33</v>
      </c>
      <c r="I601" s="709">
        <v>100</v>
      </c>
      <c r="J601" s="709">
        <f t="shared" si="82"/>
        <v>133</v>
      </c>
      <c r="K601" s="709">
        <f t="shared" si="78"/>
        <v>11220.505627164412</v>
      </c>
      <c r="L601" s="626">
        <v>19700</v>
      </c>
      <c r="M601" s="626"/>
      <c r="N601" s="704"/>
      <c r="O601" s="717"/>
      <c r="P601" s="754"/>
      <c r="Q601" s="287"/>
      <c r="R601" s="704"/>
      <c r="S601" s="704">
        <f t="shared" si="83"/>
        <v>1970000</v>
      </c>
      <c r="T601" s="903">
        <f t="shared" si="84"/>
        <v>1122050.5627164412</v>
      </c>
    </row>
    <row r="602" spans="1:20" ht="17.25" customHeight="1">
      <c r="A602" s="708">
        <f t="shared" si="80"/>
        <v>35</v>
      </c>
      <c r="B602" s="291" t="s">
        <v>1467</v>
      </c>
      <c r="C602" s="724">
        <v>42664</v>
      </c>
      <c r="D602" s="725" t="s">
        <v>1363</v>
      </c>
      <c r="E602" s="803">
        <v>63</v>
      </c>
      <c r="F602" s="802">
        <v>53</v>
      </c>
      <c r="G602" s="802">
        <v>32</v>
      </c>
      <c r="H602" s="798">
        <f t="shared" si="81"/>
        <v>2.09</v>
      </c>
      <c r="I602" s="709">
        <v>30</v>
      </c>
      <c r="J602" s="709">
        <f t="shared" si="82"/>
        <v>62.699999999999996</v>
      </c>
      <c r="K602" s="709">
        <f t="shared" si="78"/>
        <v>17632.223128401216</v>
      </c>
      <c r="L602" s="626">
        <v>20100</v>
      </c>
      <c r="M602" s="626"/>
      <c r="S602" s="704">
        <f t="shared" si="83"/>
        <v>603000</v>
      </c>
      <c r="T602" s="903">
        <f t="shared" si="84"/>
        <v>528966.69385203649</v>
      </c>
    </row>
    <row r="603" spans="1:20" ht="17.25" customHeight="1">
      <c r="A603" s="708">
        <f t="shared" si="80"/>
        <v>36</v>
      </c>
      <c r="B603" s="291" t="s">
        <v>1477</v>
      </c>
      <c r="C603" s="724">
        <v>42664</v>
      </c>
      <c r="D603" s="725" t="s">
        <v>1363</v>
      </c>
      <c r="E603" s="803">
        <v>63</v>
      </c>
      <c r="F603" s="802">
        <v>53</v>
      </c>
      <c r="G603" s="802">
        <v>32</v>
      </c>
      <c r="H603" s="798">
        <f t="shared" si="81"/>
        <v>2.09</v>
      </c>
      <c r="I603" s="709">
        <v>70</v>
      </c>
      <c r="J603" s="709">
        <f t="shared" si="82"/>
        <v>146.29999999999998</v>
      </c>
      <c r="K603" s="709">
        <f t="shared" si="78"/>
        <v>17632.223128401216</v>
      </c>
      <c r="L603" s="719">
        <v>18300</v>
      </c>
      <c r="M603" s="626"/>
      <c r="S603" s="704">
        <f t="shared" si="83"/>
        <v>1281000</v>
      </c>
      <c r="T603" s="903">
        <f t="shared" si="84"/>
        <v>1234255.6189880851</v>
      </c>
    </row>
    <row r="604" spans="1:20" ht="17.25" customHeight="1">
      <c r="A604" s="708">
        <f t="shared" si="80"/>
        <v>37</v>
      </c>
      <c r="B604" s="291" t="s">
        <v>1365</v>
      </c>
      <c r="C604" s="724">
        <v>42665</v>
      </c>
      <c r="D604" s="725" t="s">
        <v>1364</v>
      </c>
      <c r="E604" s="803">
        <v>49.5</v>
      </c>
      <c r="F604" s="802">
        <v>38.5</v>
      </c>
      <c r="G604" s="802">
        <v>32.5</v>
      </c>
      <c r="H604" s="798">
        <f t="shared" si="81"/>
        <v>1.34</v>
      </c>
      <c r="I604" s="709">
        <v>296</v>
      </c>
      <c r="J604" s="709">
        <f t="shared" si="82"/>
        <v>396.64000000000004</v>
      </c>
      <c r="K604" s="709">
        <f t="shared" si="78"/>
        <v>11304.870331128053</v>
      </c>
      <c r="L604" s="719">
        <v>12900</v>
      </c>
      <c r="M604" s="626"/>
      <c r="S604" s="704">
        <f t="shared" si="83"/>
        <v>3818400</v>
      </c>
      <c r="T604" s="903">
        <f t="shared" si="84"/>
        <v>3346241.618013904</v>
      </c>
    </row>
    <row r="605" spans="1:20" ht="17.25" customHeight="1">
      <c r="A605" s="708">
        <f t="shared" si="80"/>
        <v>38</v>
      </c>
      <c r="B605" s="291" t="s">
        <v>1366</v>
      </c>
      <c r="C605" s="724">
        <v>42665</v>
      </c>
      <c r="D605" s="725" t="s">
        <v>1364</v>
      </c>
      <c r="E605" s="803">
        <v>43</v>
      </c>
      <c r="F605" s="802">
        <v>27.5</v>
      </c>
      <c r="G605" s="802">
        <v>33</v>
      </c>
      <c r="H605" s="798">
        <f t="shared" si="81"/>
        <v>0.93</v>
      </c>
      <c r="I605" s="709">
        <v>100</v>
      </c>
      <c r="J605" s="709">
        <f t="shared" si="82"/>
        <v>93</v>
      </c>
      <c r="K605" s="709">
        <f t="shared" si="78"/>
        <v>7845.9174686187234</v>
      </c>
      <c r="L605" s="719">
        <v>6400</v>
      </c>
      <c r="S605" s="704">
        <f t="shared" si="83"/>
        <v>640000</v>
      </c>
      <c r="T605" s="903">
        <f t="shared" si="84"/>
        <v>784591.74686187238</v>
      </c>
    </row>
    <row r="606" spans="1:20" ht="17.25" customHeight="1">
      <c r="A606" s="708">
        <f t="shared" si="80"/>
        <v>39</v>
      </c>
      <c r="B606" s="291" t="s">
        <v>1367</v>
      </c>
      <c r="C606" s="724">
        <v>42665</v>
      </c>
      <c r="D606" s="725" t="s">
        <v>1364</v>
      </c>
      <c r="E606" s="803">
        <v>61</v>
      </c>
      <c r="F606" s="802">
        <v>30</v>
      </c>
      <c r="G606" s="802">
        <v>23</v>
      </c>
      <c r="H606" s="798">
        <f t="shared" si="81"/>
        <v>1.05</v>
      </c>
      <c r="I606" s="709">
        <v>52</v>
      </c>
      <c r="J606" s="709">
        <f t="shared" si="82"/>
        <v>54.6</v>
      </c>
      <c r="K606" s="709">
        <f t="shared" si="78"/>
        <v>8858.2939161824306</v>
      </c>
      <c r="L606" s="719">
        <v>10500</v>
      </c>
      <c r="S606" s="704">
        <f t="shared" si="83"/>
        <v>546000</v>
      </c>
      <c r="T606" s="903">
        <f t="shared" si="84"/>
        <v>460631.28364148637</v>
      </c>
    </row>
    <row r="607" spans="1:20" ht="17.25" customHeight="1">
      <c r="A607" s="708">
        <f t="shared" si="80"/>
        <v>40</v>
      </c>
      <c r="B607" s="291" t="s">
        <v>1369</v>
      </c>
      <c r="C607" s="724">
        <v>42665</v>
      </c>
      <c r="D607" s="725" t="s">
        <v>1368</v>
      </c>
      <c r="E607" s="803">
        <v>33</v>
      </c>
      <c r="F607" s="802">
        <v>31</v>
      </c>
      <c r="G607" s="802">
        <v>12.3</v>
      </c>
      <c r="H607" s="798">
        <f t="shared" si="81"/>
        <v>0.62</v>
      </c>
      <c r="I607" s="709">
        <v>526</v>
      </c>
      <c r="J607" s="709">
        <f t="shared" si="82"/>
        <v>326.12</v>
      </c>
      <c r="K607" s="709">
        <f t="shared" si="78"/>
        <v>5230.6116457458156</v>
      </c>
      <c r="L607" s="719">
        <v>7500</v>
      </c>
      <c r="S607" s="704">
        <f t="shared" si="83"/>
        <v>3945000</v>
      </c>
      <c r="T607" s="903">
        <f t="shared" si="84"/>
        <v>2751301.725662299</v>
      </c>
    </row>
    <row r="608" spans="1:20" ht="17.25" customHeight="1">
      <c r="A608" s="708">
        <f t="shared" si="80"/>
        <v>41</v>
      </c>
      <c r="B608" s="291" t="s">
        <v>1286</v>
      </c>
      <c r="C608" s="724">
        <v>42667</v>
      </c>
      <c r="D608" s="725" t="s">
        <v>1370</v>
      </c>
      <c r="E608" s="803">
        <v>52</v>
      </c>
      <c r="F608" s="802">
        <v>24.5</v>
      </c>
      <c r="G608" s="802">
        <v>24.5</v>
      </c>
      <c r="H608" s="798">
        <f t="shared" si="81"/>
        <v>0.82</v>
      </c>
      <c r="I608" s="709">
        <v>1188</v>
      </c>
      <c r="J608" s="709">
        <f t="shared" si="82"/>
        <v>974.16</v>
      </c>
      <c r="K608" s="709">
        <f t="shared" si="78"/>
        <v>6917.9057250186588</v>
      </c>
      <c r="L608" s="719">
        <v>5000</v>
      </c>
      <c r="S608" s="704">
        <f t="shared" si="83"/>
        <v>5940000</v>
      </c>
      <c r="T608" s="903">
        <f t="shared" si="84"/>
        <v>8218472.001322167</v>
      </c>
    </row>
    <row r="609" spans="1:20" ht="17.25" customHeight="1">
      <c r="A609" s="708">
        <f t="shared" si="80"/>
        <v>42</v>
      </c>
      <c r="B609" s="291" t="s">
        <v>655</v>
      </c>
      <c r="C609" s="724">
        <v>42667</v>
      </c>
      <c r="D609" s="725" t="s">
        <v>1370</v>
      </c>
      <c r="E609" s="803">
        <v>48</v>
      </c>
      <c r="F609" s="802">
        <v>40</v>
      </c>
      <c r="G609" s="802">
        <v>29</v>
      </c>
      <c r="H609" s="798">
        <f t="shared" si="81"/>
        <v>1.3</v>
      </c>
      <c r="I609" s="709">
        <v>215</v>
      </c>
      <c r="J609" s="709">
        <f t="shared" si="82"/>
        <v>279.5</v>
      </c>
      <c r="K609" s="709">
        <f t="shared" si="78"/>
        <v>10967.411515273485</v>
      </c>
      <c r="L609" s="719">
        <v>8000</v>
      </c>
      <c r="S609" s="704">
        <f t="shared" si="83"/>
        <v>1720000</v>
      </c>
      <c r="T609" s="903">
        <f t="shared" si="84"/>
        <v>2357993.4757837993</v>
      </c>
    </row>
    <row r="610" spans="1:20" ht="17.25" customHeight="1">
      <c r="A610" s="708">
        <f t="shared" si="80"/>
        <v>43</v>
      </c>
      <c r="B610" s="291" t="s">
        <v>1372</v>
      </c>
      <c r="C610" s="724">
        <v>42668</v>
      </c>
      <c r="D610" s="725" t="s">
        <v>1371</v>
      </c>
      <c r="E610" s="803">
        <v>37.5</v>
      </c>
      <c r="F610" s="802">
        <v>23.5</v>
      </c>
      <c r="G610" s="802">
        <v>23.5</v>
      </c>
      <c r="H610" s="798">
        <f t="shared" si="81"/>
        <v>0.64</v>
      </c>
      <c r="I610" s="709">
        <v>720</v>
      </c>
      <c r="J610" s="709">
        <f t="shared" si="82"/>
        <v>460.8</v>
      </c>
      <c r="K610" s="709">
        <f t="shared" si="78"/>
        <v>5399.3410536730999</v>
      </c>
      <c r="L610" s="719">
        <v>5900</v>
      </c>
      <c r="S610" s="704">
        <f t="shared" si="83"/>
        <v>4248000</v>
      </c>
      <c r="T610" s="903">
        <f t="shared" si="84"/>
        <v>3887525.5586446319</v>
      </c>
    </row>
    <row r="611" spans="1:20" ht="17.25" customHeight="1">
      <c r="A611" s="708">
        <f t="shared" si="80"/>
        <v>44</v>
      </c>
      <c r="B611" s="291" t="s">
        <v>1373</v>
      </c>
      <c r="C611" s="724">
        <v>42668</v>
      </c>
      <c r="D611" s="725" t="s">
        <v>1371</v>
      </c>
      <c r="E611" s="803">
        <v>33.700000000000003</v>
      </c>
      <c r="F611" s="802">
        <v>22.7</v>
      </c>
      <c r="G611" s="802">
        <v>19.3</v>
      </c>
      <c r="H611" s="798">
        <f t="shared" ref="H611:H700" si="87">IF(G611&lt;&gt;"",ROUND(((E611+F611)*2+5)*(F611+G611+3)/10000,2),ROUND(E611*F611/10000,2))</f>
        <v>0.53</v>
      </c>
      <c r="I611" s="709">
        <v>313</v>
      </c>
      <c r="J611" s="709">
        <f t="shared" ref="J611:J700" si="88">H611*I611</f>
        <v>165.89000000000001</v>
      </c>
      <c r="K611" s="709">
        <f t="shared" ref="K611:K700" si="89">H611*$R$599</f>
        <v>4471.3293100730361</v>
      </c>
      <c r="L611" s="719">
        <v>4900</v>
      </c>
      <c r="S611" s="704">
        <f t="shared" si="83"/>
        <v>1533700</v>
      </c>
      <c r="T611" s="903">
        <f t="shared" si="84"/>
        <v>1399526.0740528603</v>
      </c>
    </row>
    <row r="612" spans="1:20" ht="17.25" customHeight="1">
      <c r="A612" s="708">
        <f t="shared" si="80"/>
        <v>45</v>
      </c>
      <c r="B612" s="291" t="s">
        <v>1099</v>
      </c>
      <c r="C612" s="724">
        <v>42669</v>
      </c>
      <c r="D612" s="725" t="s">
        <v>1374</v>
      </c>
      <c r="E612" s="803">
        <v>122</v>
      </c>
      <c r="F612" s="802">
        <v>54</v>
      </c>
      <c r="G612" s="802">
        <v>180</v>
      </c>
      <c r="H612" s="798">
        <f t="shared" si="87"/>
        <v>8.4600000000000009</v>
      </c>
      <c r="I612" s="709">
        <v>60</v>
      </c>
      <c r="J612" s="709">
        <f t="shared" si="88"/>
        <v>507.6</v>
      </c>
      <c r="K612" s="709">
        <f t="shared" si="89"/>
        <v>71372.539553241295</v>
      </c>
      <c r="L612" s="719">
        <v>54530</v>
      </c>
      <c r="S612" s="704">
        <f t="shared" si="83"/>
        <v>3271800</v>
      </c>
      <c r="T612" s="903">
        <f t="shared" si="84"/>
        <v>4282352.3731944775</v>
      </c>
    </row>
    <row r="613" spans="1:20" ht="17.25" customHeight="1">
      <c r="A613" s="708">
        <f t="shared" si="80"/>
        <v>46</v>
      </c>
      <c r="B613" s="291" t="s">
        <v>448</v>
      </c>
      <c r="C613" s="724">
        <v>42669</v>
      </c>
      <c r="D613" s="725" t="s">
        <v>1374</v>
      </c>
      <c r="E613" s="803">
        <v>103</v>
      </c>
      <c r="F613" s="802">
        <v>50</v>
      </c>
      <c r="G613" s="802">
        <v>180</v>
      </c>
      <c r="H613" s="798">
        <f t="shared" si="87"/>
        <v>7.25</v>
      </c>
      <c r="I613" s="709">
        <v>154</v>
      </c>
      <c r="J613" s="709">
        <f t="shared" si="88"/>
        <v>1116.5</v>
      </c>
      <c r="K613" s="709">
        <f t="shared" si="89"/>
        <v>61164.410373640589</v>
      </c>
      <c r="L613" s="719">
        <v>47449</v>
      </c>
      <c r="S613" s="704">
        <f t="shared" si="83"/>
        <v>7307146</v>
      </c>
      <c r="T613" s="903">
        <f t="shared" si="84"/>
        <v>9419319.1975406501</v>
      </c>
    </row>
    <row r="614" spans="1:20" ht="17.25" customHeight="1">
      <c r="A614" s="708">
        <f t="shared" si="80"/>
        <v>47</v>
      </c>
      <c r="B614" s="291" t="s">
        <v>1475</v>
      </c>
      <c r="C614" s="724">
        <v>42669</v>
      </c>
      <c r="D614" s="725" t="s">
        <v>1376</v>
      </c>
      <c r="E614" s="803">
        <v>70</v>
      </c>
      <c r="F614" s="802">
        <v>45</v>
      </c>
      <c r="G614" s="802"/>
      <c r="H614" s="798">
        <f t="shared" si="87"/>
        <v>0.32</v>
      </c>
      <c r="I614" s="709">
        <v>520</v>
      </c>
      <c r="J614" s="709">
        <f t="shared" si="88"/>
        <v>166.4</v>
      </c>
      <c r="K614" s="709">
        <f t="shared" si="89"/>
        <v>2699.6705268365499</v>
      </c>
      <c r="L614" s="719">
        <v>3311</v>
      </c>
      <c r="S614" s="704">
        <f t="shared" si="83"/>
        <v>1721720</v>
      </c>
      <c r="T614" s="903">
        <f t="shared" si="84"/>
        <v>1403828.6739550061</v>
      </c>
    </row>
    <row r="615" spans="1:20" ht="17.25" customHeight="1">
      <c r="A615" s="708">
        <f t="shared" si="80"/>
        <v>48</v>
      </c>
      <c r="B615" s="291" t="s">
        <v>1475</v>
      </c>
      <c r="C615" s="724">
        <v>42669</v>
      </c>
      <c r="D615" s="725" t="s">
        <v>1376</v>
      </c>
      <c r="E615" s="803">
        <v>70</v>
      </c>
      <c r="F615" s="802">
        <v>45</v>
      </c>
      <c r="G615" s="802"/>
      <c r="H615" s="798">
        <f t="shared" si="87"/>
        <v>0.32</v>
      </c>
      <c r="I615" s="709">
        <v>550</v>
      </c>
      <c r="J615" s="709">
        <f t="shared" si="88"/>
        <v>176</v>
      </c>
      <c r="K615" s="709">
        <f t="shared" si="89"/>
        <v>2699.6705268365499</v>
      </c>
      <c r="L615" s="719">
        <v>3542</v>
      </c>
      <c r="S615" s="704">
        <f t="shared" si="83"/>
        <v>1948100</v>
      </c>
      <c r="T615" s="903">
        <f t="shared" si="84"/>
        <v>1484818.7897601025</v>
      </c>
    </row>
    <row r="616" spans="1:20" ht="17.25" customHeight="1">
      <c r="A616" s="708">
        <f t="shared" si="80"/>
        <v>49</v>
      </c>
      <c r="B616" s="291" t="s">
        <v>1379</v>
      </c>
      <c r="C616" s="724">
        <v>42670</v>
      </c>
      <c r="D616" s="725" t="s">
        <v>1378</v>
      </c>
      <c r="E616" s="803">
        <v>62</v>
      </c>
      <c r="F616" s="802">
        <v>42.5</v>
      </c>
      <c r="G616" s="802">
        <v>42.5</v>
      </c>
      <c r="H616" s="798">
        <f t="shared" si="87"/>
        <v>1.88</v>
      </c>
      <c r="I616" s="709">
        <v>100</v>
      </c>
      <c r="J616" s="709">
        <f t="shared" si="88"/>
        <v>188</v>
      </c>
      <c r="K616" s="709">
        <f t="shared" si="89"/>
        <v>15860.56434516473</v>
      </c>
      <c r="L616" s="719">
        <v>20000</v>
      </c>
      <c r="S616" s="704">
        <f t="shared" si="83"/>
        <v>2000000</v>
      </c>
      <c r="T616" s="903">
        <f t="shared" si="84"/>
        <v>1586056.434516473</v>
      </c>
    </row>
    <row r="617" spans="1:20" ht="17.25" customHeight="1">
      <c r="A617" s="708">
        <f t="shared" si="80"/>
        <v>50</v>
      </c>
      <c r="B617" s="291" t="s">
        <v>1382</v>
      </c>
      <c r="C617" s="724">
        <v>42670</v>
      </c>
      <c r="D617" s="725" t="s">
        <v>1381</v>
      </c>
      <c r="E617" s="803">
        <v>47.8</v>
      </c>
      <c r="F617" s="802">
        <v>24.4</v>
      </c>
      <c r="G617" s="802">
        <v>37</v>
      </c>
      <c r="H617" s="798">
        <f t="shared" si="87"/>
        <v>0.96</v>
      </c>
      <c r="I617" s="709">
        <v>25</v>
      </c>
      <c r="J617" s="709">
        <f t="shared" si="88"/>
        <v>24</v>
      </c>
      <c r="K617" s="709">
        <f t="shared" si="89"/>
        <v>8099.0115805096493</v>
      </c>
      <c r="L617" s="719">
        <v>7750</v>
      </c>
      <c r="S617" s="704">
        <f t="shared" si="83"/>
        <v>193750</v>
      </c>
      <c r="T617" s="903">
        <f t="shared" si="84"/>
        <v>202475.28951274123</v>
      </c>
    </row>
    <row r="618" spans="1:20" ht="17.25" customHeight="1">
      <c r="A618" s="708">
        <f t="shared" si="80"/>
        <v>51</v>
      </c>
      <c r="B618" s="291" t="s">
        <v>1472</v>
      </c>
      <c r="C618" s="724">
        <v>42676</v>
      </c>
      <c r="D618" s="725" t="s">
        <v>1383</v>
      </c>
      <c r="E618" s="803">
        <v>23</v>
      </c>
      <c r="F618" s="802">
        <v>23</v>
      </c>
      <c r="G618" s="802">
        <v>18</v>
      </c>
      <c r="H618" s="798">
        <f t="shared" si="87"/>
        <v>0.43</v>
      </c>
      <c r="I618" s="709">
        <v>1800</v>
      </c>
      <c r="J618" s="709">
        <f t="shared" si="88"/>
        <v>774</v>
      </c>
      <c r="K618" s="709">
        <f t="shared" si="89"/>
        <v>3627.6822704366141</v>
      </c>
      <c r="L618" s="719">
        <v>3970</v>
      </c>
      <c r="S618" s="704">
        <f t="shared" si="83"/>
        <v>7146000</v>
      </c>
      <c r="T618" s="903">
        <f t="shared" si="84"/>
        <v>6529828.0867859051</v>
      </c>
    </row>
    <row r="619" spans="1:20" ht="17.25" customHeight="1">
      <c r="A619" s="708">
        <f t="shared" si="80"/>
        <v>52</v>
      </c>
      <c r="B619" s="291" t="s">
        <v>1338</v>
      </c>
      <c r="C619" s="724">
        <v>42676</v>
      </c>
      <c r="D619" s="725" t="s">
        <v>1383</v>
      </c>
      <c r="E619" s="803">
        <v>49</v>
      </c>
      <c r="F619" s="802">
        <v>47</v>
      </c>
      <c r="G619" s="802">
        <v>27</v>
      </c>
      <c r="H619" s="798">
        <f t="shared" si="87"/>
        <v>1.52</v>
      </c>
      <c r="I619" s="709">
        <v>30</v>
      </c>
      <c r="J619" s="709">
        <f t="shared" si="88"/>
        <v>45.6</v>
      </c>
      <c r="K619" s="709">
        <f t="shared" si="89"/>
        <v>12823.435002473612</v>
      </c>
      <c r="L619" s="719">
        <v>12400</v>
      </c>
      <c r="S619" s="704">
        <f t="shared" si="83"/>
        <v>372000</v>
      </c>
      <c r="T619" s="903">
        <f t="shared" si="84"/>
        <v>384703.05007420835</v>
      </c>
    </row>
    <row r="620" spans="1:20" ht="17.25" customHeight="1">
      <c r="A620" s="708">
        <f t="shared" si="80"/>
        <v>53</v>
      </c>
      <c r="B620" s="291" t="s">
        <v>1338</v>
      </c>
      <c r="C620" s="724">
        <v>42676</v>
      </c>
      <c r="D620" s="725" t="s">
        <v>1383</v>
      </c>
      <c r="E620" s="803">
        <v>49</v>
      </c>
      <c r="F620" s="802">
        <v>47</v>
      </c>
      <c r="G620" s="802">
        <v>27</v>
      </c>
      <c r="H620" s="798">
        <f t="shared" si="87"/>
        <v>1.52</v>
      </c>
      <c r="I620" s="709">
        <v>30</v>
      </c>
      <c r="J620" s="709">
        <f t="shared" si="88"/>
        <v>45.6</v>
      </c>
      <c r="K620" s="709">
        <f t="shared" si="89"/>
        <v>12823.435002473612</v>
      </c>
      <c r="L620" s="719">
        <v>14200</v>
      </c>
      <c r="S620" s="704">
        <f t="shared" si="83"/>
        <v>426000</v>
      </c>
      <c r="T620" s="903">
        <f t="shared" si="84"/>
        <v>384703.05007420835</v>
      </c>
    </row>
    <row r="621" spans="1:20" ht="17.25" customHeight="1">
      <c r="A621" s="708">
        <f t="shared" si="80"/>
        <v>54</v>
      </c>
      <c r="B621" s="291" t="s">
        <v>1341</v>
      </c>
      <c r="C621" s="724">
        <v>42676</v>
      </c>
      <c r="D621" s="725" t="s">
        <v>1383</v>
      </c>
      <c r="E621" s="803">
        <v>38</v>
      </c>
      <c r="F621" s="802">
        <v>37</v>
      </c>
      <c r="G621" s="802">
        <v>30</v>
      </c>
      <c r="H621" s="798">
        <f t="shared" si="87"/>
        <v>1.0900000000000001</v>
      </c>
      <c r="I621" s="709">
        <v>30</v>
      </c>
      <c r="J621" s="709">
        <f t="shared" si="88"/>
        <v>32.700000000000003</v>
      </c>
      <c r="K621" s="709">
        <f t="shared" si="89"/>
        <v>9195.7527320369991</v>
      </c>
      <c r="L621" s="719">
        <v>15300</v>
      </c>
      <c r="S621" s="704">
        <f t="shared" si="83"/>
        <v>459000</v>
      </c>
      <c r="T621" s="903">
        <f t="shared" si="84"/>
        <v>275872.58196111</v>
      </c>
    </row>
    <row r="622" spans="1:20" ht="17.25" customHeight="1">
      <c r="A622" s="708">
        <f t="shared" si="80"/>
        <v>55</v>
      </c>
      <c r="B622" s="291" t="s">
        <v>1339</v>
      </c>
      <c r="C622" s="724">
        <v>42676</v>
      </c>
      <c r="D622" s="725" t="s">
        <v>1383</v>
      </c>
      <c r="E622" s="803">
        <v>40</v>
      </c>
      <c r="F622" s="802">
        <v>39</v>
      </c>
      <c r="G622" s="802">
        <v>32</v>
      </c>
      <c r="H622" s="798">
        <f t="shared" si="87"/>
        <v>1.21</v>
      </c>
      <c r="I622" s="709">
        <v>30</v>
      </c>
      <c r="J622" s="709">
        <f t="shared" si="88"/>
        <v>36.299999999999997</v>
      </c>
      <c r="K622" s="709">
        <f t="shared" si="89"/>
        <v>10208.129179600704</v>
      </c>
      <c r="L622" s="719">
        <v>16500</v>
      </c>
      <c r="S622" s="704">
        <f t="shared" si="83"/>
        <v>495000</v>
      </c>
      <c r="T622" s="903">
        <f t="shared" si="84"/>
        <v>306243.87538802112</v>
      </c>
    </row>
    <row r="623" spans="1:20" ht="17.25" customHeight="1">
      <c r="A623" s="708">
        <f t="shared" si="80"/>
        <v>56</v>
      </c>
      <c r="B623" s="291" t="s">
        <v>1340</v>
      </c>
      <c r="C623" s="724">
        <v>42676</v>
      </c>
      <c r="D623" s="725" t="s">
        <v>1383</v>
      </c>
      <c r="E623" s="803">
        <v>42</v>
      </c>
      <c r="F623" s="802">
        <v>41</v>
      </c>
      <c r="G623" s="802">
        <v>34</v>
      </c>
      <c r="H623" s="798">
        <f t="shared" si="87"/>
        <v>1.33</v>
      </c>
      <c r="I623" s="709">
        <v>100</v>
      </c>
      <c r="J623" s="709">
        <f t="shared" si="88"/>
        <v>133</v>
      </c>
      <c r="K623" s="709">
        <f t="shared" si="89"/>
        <v>11220.505627164412</v>
      </c>
      <c r="L623" s="719">
        <v>19700</v>
      </c>
      <c r="S623" s="704">
        <f t="shared" si="83"/>
        <v>1970000</v>
      </c>
      <c r="T623" s="903">
        <f t="shared" si="84"/>
        <v>1122050.5627164412</v>
      </c>
    </row>
    <row r="624" spans="1:20" ht="17.25" customHeight="1">
      <c r="A624" s="708">
        <f t="shared" si="80"/>
        <v>57</v>
      </c>
      <c r="B624" s="291" t="s">
        <v>1467</v>
      </c>
      <c r="C624" s="724">
        <v>42676</v>
      </c>
      <c r="D624" s="725" t="s">
        <v>1383</v>
      </c>
      <c r="E624" s="803">
        <v>63</v>
      </c>
      <c r="F624" s="802">
        <v>53</v>
      </c>
      <c r="G624" s="802">
        <v>32</v>
      </c>
      <c r="H624" s="798">
        <f t="shared" si="87"/>
        <v>2.09</v>
      </c>
      <c r="I624" s="709">
        <v>30</v>
      </c>
      <c r="J624" s="709">
        <f t="shared" si="88"/>
        <v>62.699999999999996</v>
      </c>
      <c r="K624" s="709">
        <f t="shared" si="89"/>
        <v>17632.223128401216</v>
      </c>
      <c r="L624" s="719">
        <v>20100</v>
      </c>
      <c r="S624" s="704">
        <f t="shared" si="83"/>
        <v>603000</v>
      </c>
      <c r="T624" s="903">
        <f t="shared" si="84"/>
        <v>528966.69385203649</v>
      </c>
    </row>
    <row r="625" spans="1:20" ht="17.25" customHeight="1">
      <c r="A625" s="708">
        <f t="shared" si="80"/>
        <v>58</v>
      </c>
      <c r="B625" s="291" t="s">
        <v>1477</v>
      </c>
      <c r="C625" s="724">
        <v>42676</v>
      </c>
      <c r="D625" s="725" t="s">
        <v>1383</v>
      </c>
      <c r="E625" s="803">
        <v>63</v>
      </c>
      <c r="F625" s="802">
        <v>53</v>
      </c>
      <c r="G625" s="802">
        <v>32</v>
      </c>
      <c r="H625" s="798">
        <f t="shared" si="87"/>
        <v>2.09</v>
      </c>
      <c r="I625" s="709">
        <v>70</v>
      </c>
      <c r="J625" s="709">
        <f t="shared" si="88"/>
        <v>146.29999999999998</v>
      </c>
      <c r="K625" s="709">
        <f t="shared" si="89"/>
        <v>17632.223128401216</v>
      </c>
      <c r="L625" s="719">
        <v>18300</v>
      </c>
      <c r="S625" s="704">
        <f t="shared" si="83"/>
        <v>1281000</v>
      </c>
      <c r="T625" s="903">
        <f t="shared" si="84"/>
        <v>1234255.6189880851</v>
      </c>
    </row>
    <row r="626" spans="1:20" ht="17.25" customHeight="1">
      <c r="A626" s="708">
        <f t="shared" si="80"/>
        <v>59</v>
      </c>
      <c r="B626" s="291" t="s">
        <v>1346</v>
      </c>
      <c r="C626" s="724">
        <v>42677</v>
      </c>
      <c r="D626" s="725" t="s">
        <v>1384</v>
      </c>
      <c r="E626" s="803">
        <v>23.5</v>
      </c>
      <c r="F626" s="802">
        <v>23.5</v>
      </c>
      <c r="G626" s="802">
        <v>30.5</v>
      </c>
      <c r="H626" s="798">
        <f t="shared" si="87"/>
        <v>0.56000000000000005</v>
      </c>
      <c r="I626" s="709">
        <v>974</v>
      </c>
      <c r="J626" s="709">
        <f t="shared" si="88"/>
        <v>545.44000000000005</v>
      </c>
      <c r="K626" s="709">
        <f t="shared" si="89"/>
        <v>4724.4234219639629</v>
      </c>
      <c r="L626" s="719">
        <v>6700</v>
      </c>
      <c r="S626" s="704">
        <f t="shared" si="83"/>
        <v>6525800</v>
      </c>
      <c r="T626" s="903">
        <f t="shared" si="84"/>
        <v>4601588.4129929002</v>
      </c>
    </row>
    <row r="627" spans="1:20" ht="17.25" customHeight="1">
      <c r="A627" s="708">
        <f t="shared" si="80"/>
        <v>60</v>
      </c>
      <c r="B627" s="291" t="s">
        <v>1474</v>
      </c>
      <c r="C627" s="724">
        <v>42679</v>
      </c>
      <c r="D627" s="725" t="s">
        <v>1385</v>
      </c>
      <c r="E627" s="803">
        <v>49</v>
      </c>
      <c r="F627" s="802">
        <v>38</v>
      </c>
      <c r="G627" s="802">
        <v>12</v>
      </c>
      <c r="H627" s="798">
        <f t="shared" si="87"/>
        <v>0.95</v>
      </c>
      <c r="I627" s="709">
        <v>450</v>
      </c>
      <c r="J627" s="709">
        <f t="shared" si="88"/>
        <v>427.5</v>
      </c>
      <c r="K627" s="709">
        <f t="shared" si="89"/>
        <v>8014.6468765460077</v>
      </c>
      <c r="L627" s="719">
        <v>10500</v>
      </c>
      <c r="S627" s="704">
        <f t="shared" si="83"/>
        <v>4725000</v>
      </c>
      <c r="T627" s="903">
        <f t="shared" si="84"/>
        <v>3606591.0944457036</v>
      </c>
    </row>
    <row r="628" spans="1:20" ht="17.25" customHeight="1">
      <c r="A628" s="708">
        <f t="shared" si="80"/>
        <v>61</v>
      </c>
      <c r="B628" s="291" t="s">
        <v>1474</v>
      </c>
      <c r="C628" s="724">
        <v>42679</v>
      </c>
      <c r="D628" s="725" t="s">
        <v>1385</v>
      </c>
      <c r="E628" s="803">
        <v>49</v>
      </c>
      <c r="F628" s="802">
        <v>38</v>
      </c>
      <c r="G628" s="802">
        <v>12</v>
      </c>
      <c r="H628" s="798">
        <f t="shared" si="87"/>
        <v>0.95</v>
      </c>
      <c r="I628" s="709">
        <v>200</v>
      </c>
      <c r="J628" s="709">
        <f t="shared" si="88"/>
        <v>190</v>
      </c>
      <c r="K628" s="709">
        <f t="shared" si="89"/>
        <v>8014.6468765460077</v>
      </c>
      <c r="L628" s="719">
        <v>10500</v>
      </c>
      <c r="S628" s="704">
        <f t="shared" si="83"/>
        <v>2100000</v>
      </c>
      <c r="T628" s="903">
        <f t="shared" si="84"/>
        <v>1602929.3753092014</v>
      </c>
    </row>
    <row r="629" spans="1:20" ht="17.25" customHeight="1">
      <c r="A629" s="708">
        <f t="shared" si="80"/>
        <v>62</v>
      </c>
      <c r="B629" s="291" t="s">
        <v>1386</v>
      </c>
      <c r="C629" s="724">
        <v>42679</v>
      </c>
      <c r="D629" s="725" t="s">
        <v>1385</v>
      </c>
      <c r="E629" s="803">
        <v>40</v>
      </c>
      <c r="F629" s="802">
        <v>30</v>
      </c>
      <c r="G629" s="802">
        <v>18.5</v>
      </c>
      <c r="H629" s="798">
        <f t="shared" si="87"/>
        <v>0.75</v>
      </c>
      <c r="I629" s="709">
        <v>530</v>
      </c>
      <c r="J629" s="709">
        <f t="shared" si="88"/>
        <v>397.5</v>
      </c>
      <c r="K629" s="709">
        <f t="shared" si="89"/>
        <v>6327.3527972731645</v>
      </c>
      <c r="L629" s="719">
        <v>8800</v>
      </c>
      <c r="S629" s="704">
        <f t="shared" si="83"/>
        <v>4664000</v>
      </c>
      <c r="T629" s="903">
        <f t="shared" si="84"/>
        <v>3353496.9825547771</v>
      </c>
    </row>
    <row r="630" spans="1:20" ht="17.25" customHeight="1">
      <c r="A630" s="708">
        <f t="shared" si="80"/>
        <v>63</v>
      </c>
      <c r="B630" s="291" t="s">
        <v>1397</v>
      </c>
      <c r="C630" s="724">
        <v>42683</v>
      </c>
      <c r="D630" s="725" t="s">
        <v>1394</v>
      </c>
      <c r="E630" s="803">
        <v>42</v>
      </c>
      <c r="F630" s="802">
        <v>20</v>
      </c>
      <c r="G630" s="802">
        <v>29</v>
      </c>
      <c r="H630" s="798">
        <f t="shared" si="87"/>
        <v>0.67</v>
      </c>
      <c r="I630" s="709">
        <v>233</v>
      </c>
      <c r="J630" s="709">
        <f t="shared" si="88"/>
        <v>156.11000000000001</v>
      </c>
      <c r="K630" s="709">
        <f t="shared" si="89"/>
        <v>5652.4351655640266</v>
      </c>
      <c r="L630" s="719">
        <v>7507</v>
      </c>
      <c r="S630" s="704">
        <f t="shared" si="83"/>
        <v>1749131</v>
      </c>
      <c r="T630" s="903">
        <f t="shared" si="84"/>
        <v>1317017.3935764183</v>
      </c>
    </row>
    <row r="631" spans="1:20" ht="17.25" customHeight="1">
      <c r="A631" s="708">
        <f t="shared" si="80"/>
        <v>64</v>
      </c>
      <c r="B631" s="291" t="s">
        <v>1398</v>
      </c>
      <c r="C631" s="724">
        <v>42683</v>
      </c>
      <c r="D631" s="725" t="s">
        <v>1394</v>
      </c>
      <c r="E631" s="803">
        <v>42</v>
      </c>
      <c r="F631" s="802">
        <v>24</v>
      </c>
      <c r="G631" s="802">
        <v>29</v>
      </c>
      <c r="H631" s="798">
        <f t="shared" si="87"/>
        <v>0.77</v>
      </c>
      <c r="I631" s="709">
        <v>13</v>
      </c>
      <c r="J631" s="709">
        <f t="shared" si="88"/>
        <v>10.01</v>
      </c>
      <c r="K631" s="709">
        <f t="shared" si="89"/>
        <v>6496.0822052004487</v>
      </c>
      <c r="L631" s="719">
        <v>8602</v>
      </c>
      <c r="S631" s="704">
        <f t="shared" si="83"/>
        <v>111826</v>
      </c>
      <c r="T631" s="903">
        <f t="shared" si="84"/>
        <v>84449.068667605839</v>
      </c>
    </row>
    <row r="632" spans="1:20" ht="17.25" customHeight="1">
      <c r="A632" s="708">
        <f t="shared" si="80"/>
        <v>65</v>
      </c>
      <c r="B632" s="291" t="s">
        <v>1399</v>
      </c>
      <c r="C632" s="724">
        <v>42683</v>
      </c>
      <c r="D632" s="725" t="s">
        <v>1394</v>
      </c>
      <c r="E632" s="803">
        <v>82</v>
      </c>
      <c r="F632" s="802">
        <v>52</v>
      </c>
      <c r="G632" s="802">
        <v>29</v>
      </c>
      <c r="H632" s="798">
        <f t="shared" si="87"/>
        <v>2.29</v>
      </c>
      <c r="I632" s="709">
        <v>42</v>
      </c>
      <c r="J632" s="709">
        <f t="shared" si="88"/>
        <v>96.18</v>
      </c>
      <c r="K632" s="709">
        <f t="shared" si="89"/>
        <v>19319.51720767406</v>
      </c>
      <c r="L632" s="719">
        <v>26344</v>
      </c>
      <c r="S632" s="704">
        <f t="shared" si="83"/>
        <v>1106448</v>
      </c>
      <c r="T632" s="903">
        <f t="shared" si="84"/>
        <v>811419.72272231057</v>
      </c>
    </row>
    <row r="633" spans="1:20" ht="17.25" customHeight="1">
      <c r="A633" s="708">
        <f t="shared" si="80"/>
        <v>66</v>
      </c>
      <c r="B633" s="291" t="s">
        <v>1400</v>
      </c>
      <c r="C633" s="724">
        <v>42683</v>
      </c>
      <c r="D633" s="725" t="s">
        <v>1394</v>
      </c>
      <c r="E633" s="803">
        <v>80</v>
      </c>
      <c r="F633" s="802">
        <v>27</v>
      </c>
      <c r="G633" s="802"/>
      <c r="H633" s="798">
        <f t="shared" si="87"/>
        <v>0.22</v>
      </c>
      <c r="I633" s="709">
        <v>164</v>
      </c>
      <c r="J633" s="709">
        <f t="shared" si="88"/>
        <v>36.08</v>
      </c>
      <c r="K633" s="709">
        <f t="shared" si="89"/>
        <v>1856.0234872001281</v>
      </c>
      <c r="L633" s="719">
        <v>1296</v>
      </c>
      <c r="S633" s="704">
        <f t="shared" ref="S633:S696" si="90">I633*L633</f>
        <v>212544</v>
      </c>
      <c r="T633" s="903">
        <f t="shared" ref="T633:T696" si="91">I633*K633</f>
        <v>304387.85190082103</v>
      </c>
    </row>
    <row r="634" spans="1:20" ht="17.25" customHeight="1">
      <c r="A634" s="708">
        <f t="shared" si="80"/>
        <v>67</v>
      </c>
      <c r="B634" s="291" t="s">
        <v>1401</v>
      </c>
      <c r="C634" s="724">
        <v>42683</v>
      </c>
      <c r="D634" s="725" t="s">
        <v>1394</v>
      </c>
      <c r="E634" s="803">
        <v>50</v>
      </c>
      <c r="F634" s="802">
        <v>27</v>
      </c>
      <c r="G634" s="802"/>
      <c r="H634" s="798">
        <f t="shared" si="87"/>
        <v>0.14000000000000001</v>
      </c>
      <c r="I634" s="709">
        <v>123</v>
      </c>
      <c r="J634" s="709">
        <f t="shared" si="88"/>
        <v>17.220000000000002</v>
      </c>
      <c r="K634" s="709">
        <f t="shared" si="89"/>
        <v>1181.1058554909907</v>
      </c>
      <c r="L634" s="719">
        <v>810</v>
      </c>
      <c r="S634" s="704">
        <f t="shared" si="90"/>
        <v>99630</v>
      </c>
      <c r="T634" s="903">
        <f t="shared" si="91"/>
        <v>145276.02022539187</v>
      </c>
    </row>
    <row r="635" spans="1:20" ht="17.25" customHeight="1">
      <c r="A635" s="708">
        <f t="shared" si="80"/>
        <v>68</v>
      </c>
      <c r="B635" s="291" t="s">
        <v>1404</v>
      </c>
      <c r="C635" s="724">
        <v>42683</v>
      </c>
      <c r="D635" s="725" t="s">
        <v>1402</v>
      </c>
      <c r="E635" s="803">
        <v>43.1</v>
      </c>
      <c r="F635" s="802">
        <v>27.9</v>
      </c>
      <c r="G635" s="802">
        <v>43.1</v>
      </c>
      <c r="H635" s="798">
        <f t="shared" si="87"/>
        <v>1.0900000000000001</v>
      </c>
      <c r="I635" s="709">
        <v>92</v>
      </c>
      <c r="J635" s="709">
        <f t="shared" si="88"/>
        <v>100.28</v>
      </c>
      <c r="K635" s="709">
        <f t="shared" si="89"/>
        <v>9195.7527320369991</v>
      </c>
      <c r="L635" s="626">
        <v>13500</v>
      </c>
      <c r="M635" s="626"/>
      <c r="S635" s="704">
        <f t="shared" si="90"/>
        <v>1242000</v>
      </c>
      <c r="T635" s="903">
        <f t="shared" si="91"/>
        <v>846009.25134740397</v>
      </c>
    </row>
    <row r="636" spans="1:20" ht="17.25" customHeight="1">
      <c r="A636" s="708">
        <f t="shared" si="80"/>
        <v>69</v>
      </c>
      <c r="B636" s="291" t="s">
        <v>1405</v>
      </c>
      <c r="C636" s="724">
        <v>42683</v>
      </c>
      <c r="D636" s="725" t="s">
        <v>1402</v>
      </c>
      <c r="E636" s="803">
        <v>43.1</v>
      </c>
      <c r="F636" s="802">
        <v>27.9</v>
      </c>
      <c r="G636" s="802">
        <v>40.6</v>
      </c>
      <c r="H636" s="798">
        <f t="shared" si="87"/>
        <v>1.05</v>
      </c>
      <c r="I636" s="709">
        <v>52</v>
      </c>
      <c r="J636" s="709">
        <f t="shared" si="88"/>
        <v>54.6</v>
      </c>
      <c r="K636" s="709">
        <f t="shared" si="89"/>
        <v>8858.2939161824306</v>
      </c>
      <c r="L636" s="719">
        <v>13500</v>
      </c>
      <c r="M636" s="626"/>
      <c r="S636" s="704">
        <f t="shared" si="90"/>
        <v>702000</v>
      </c>
      <c r="T636" s="903">
        <f t="shared" si="91"/>
        <v>460631.28364148637</v>
      </c>
    </row>
    <row r="637" spans="1:20" ht="17.25" customHeight="1">
      <c r="A637" s="708">
        <f t="shared" si="80"/>
        <v>70</v>
      </c>
      <c r="B637" s="291" t="s">
        <v>1406</v>
      </c>
      <c r="C637" s="724">
        <v>42683</v>
      </c>
      <c r="D637" s="725" t="s">
        <v>1402</v>
      </c>
      <c r="E637" s="803">
        <v>43.1</v>
      </c>
      <c r="F637" s="802">
        <v>27.9</v>
      </c>
      <c r="G637" s="802">
        <v>35.5</v>
      </c>
      <c r="H637" s="798">
        <f t="shared" si="87"/>
        <v>0.98</v>
      </c>
      <c r="I637" s="709">
        <v>192</v>
      </c>
      <c r="J637" s="709">
        <f t="shared" si="88"/>
        <v>188.16</v>
      </c>
      <c r="K637" s="709">
        <f t="shared" si="89"/>
        <v>8267.7409884369335</v>
      </c>
      <c r="L637" s="719">
        <v>13500</v>
      </c>
      <c r="M637" s="626"/>
      <c r="S637" s="704">
        <f t="shared" si="90"/>
        <v>2592000</v>
      </c>
      <c r="T637" s="903">
        <f t="shared" si="91"/>
        <v>1587406.2697798912</v>
      </c>
    </row>
    <row r="638" spans="1:20" ht="17.25" customHeight="1">
      <c r="A638" s="708">
        <f t="shared" si="80"/>
        <v>71</v>
      </c>
      <c r="B638" s="291" t="s">
        <v>1409</v>
      </c>
      <c r="C638" s="724">
        <v>42683</v>
      </c>
      <c r="D638" s="725" t="s">
        <v>1407</v>
      </c>
      <c r="E638" s="803">
        <v>47.5</v>
      </c>
      <c r="F638" s="802">
        <v>35.5</v>
      </c>
      <c r="G638" s="802">
        <v>27</v>
      </c>
      <c r="H638" s="798">
        <f t="shared" si="87"/>
        <v>1.1200000000000001</v>
      </c>
      <c r="I638" s="709">
        <v>364</v>
      </c>
      <c r="J638" s="709">
        <f t="shared" si="88"/>
        <v>407.68000000000006</v>
      </c>
      <c r="K638" s="709">
        <f t="shared" si="89"/>
        <v>9448.8468439279259</v>
      </c>
      <c r="L638" s="719">
        <v>13600</v>
      </c>
      <c r="S638" s="704">
        <f t="shared" si="90"/>
        <v>4950400</v>
      </c>
      <c r="T638" s="903">
        <f t="shared" si="91"/>
        <v>3439380.2511897651</v>
      </c>
    </row>
    <row r="639" spans="1:20" ht="17.25" customHeight="1">
      <c r="A639" s="708">
        <f t="shared" si="80"/>
        <v>72</v>
      </c>
      <c r="B639" s="291" t="s">
        <v>1410</v>
      </c>
      <c r="C639" s="724">
        <v>42683</v>
      </c>
      <c r="D639" s="725" t="s">
        <v>1407</v>
      </c>
      <c r="E639" s="803">
        <v>49.5</v>
      </c>
      <c r="F639" s="802">
        <v>32.5</v>
      </c>
      <c r="G639" s="802">
        <v>22</v>
      </c>
      <c r="H639" s="798">
        <f t="shared" si="87"/>
        <v>0.97</v>
      </c>
      <c r="I639" s="709">
        <v>20</v>
      </c>
      <c r="J639" s="709">
        <f t="shared" si="88"/>
        <v>19.399999999999999</v>
      </c>
      <c r="K639" s="709">
        <f t="shared" si="89"/>
        <v>8183.3762844732919</v>
      </c>
      <c r="L639" s="719">
        <v>11800</v>
      </c>
      <c r="S639" s="704">
        <f t="shared" si="90"/>
        <v>236000</v>
      </c>
      <c r="T639" s="903">
        <f t="shared" si="91"/>
        <v>163667.52568946584</v>
      </c>
    </row>
    <row r="640" spans="1:20" ht="17.25" customHeight="1">
      <c r="A640" s="708">
        <f t="shared" si="80"/>
        <v>73</v>
      </c>
      <c r="B640" s="291" t="s">
        <v>1411</v>
      </c>
      <c r="C640" s="724">
        <v>42684</v>
      </c>
      <c r="D640" s="725" t="s">
        <v>1408</v>
      </c>
      <c r="E640" s="803">
        <v>42</v>
      </c>
      <c r="F640" s="802">
        <v>42</v>
      </c>
      <c r="G640" s="802">
        <v>11</v>
      </c>
      <c r="H640" s="798">
        <f t="shared" si="87"/>
        <v>0.97</v>
      </c>
      <c r="I640" s="709">
        <v>200</v>
      </c>
      <c r="J640" s="709">
        <f t="shared" si="88"/>
        <v>194</v>
      </c>
      <c r="K640" s="709">
        <f t="shared" si="89"/>
        <v>8183.3762844732919</v>
      </c>
      <c r="L640" s="719">
        <v>7500</v>
      </c>
      <c r="S640" s="704">
        <f t="shared" si="90"/>
        <v>1500000</v>
      </c>
      <c r="T640" s="903">
        <f t="shared" si="91"/>
        <v>1636675.2568946583</v>
      </c>
    </row>
    <row r="641" spans="1:20" ht="17.25" customHeight="1">
      <c r="A641" s="708">
        <f t="shared" si="80"/>
        <v>74</v>
      </c>
      <c r="B641" s="291" t="s">
        <v>1413</v>
      </c>
      <c r="C641" s="724">
        <v>42684</v>
      </c>
      <c r="D641" s="725" t="s">
        <v>1412</v>
      </c>
      <c r="E641" s="803">
        <v>55.9</v>
      </c>
      <c r="F641" s="802">
        <v>28.1</v>
      </c>
      <c r="G641" s="802">
        <v>28.7</v>
      </c>
      <c r="H641" s="798">
        <f t="shared" si="87"/>
        <v>1.03</v>
      </c>
      <c r="I641" s="709">
        <v>300</v>
      </c>
      <c r="J641" s="709">
        <f t="shared" si="88"/>
        <v>309</v>
      </c>
      <c r="K641" s="709">
        <f t="shared" si="89"/>
        <v>8689.5645082551455</v>
      </c>
      <c r="L641" s="719">
        <v>7300</v>
      </c>
      <c r="S641" s="704">
        <f t="shared" si="90"/>
        <v>2190000</v>
      </c>
      <c r="T641" s="903">
        <f t="shared" si="91"/>
        <v>2606869.3524765437</v>
      </c>
    </row>
    <row r="642" spans="1:20" ht="17.25" customHeight="1">
      <c r="A642" s="708">
        <f t="shared" si="80"/>
        <v>75</v>
      </c>
      <c r="B642" s="291" t="s">
        <v>1414</v>
      </c>
      <c r="C642" s="724">
        <v>42684</v>
      </c>
      <c r="D642" s="725" t="s">
        <v>1412</v>
      </c>
      <c r="E642" s="803">
        <v>48</v>
      </c>
      <c r="F642" s="802">
        <v>40</v>
      </c>
      <c r="G642" s="802">
        <v>26</v>
      </c>
      <c r="H642" s="798">
        <f t="shared" si="87"/>
        <v>1.25</v>
      </c>
      <c r="I642" s="709">
        <v>35</v>
      </c>
      <c r="J642" s="709">
        <f t="shared" si="88"/>
        <v>43.75</v>
      </c>
      <c r="K642" s="709">
        <f t="shared" si="89"/>
        <v>10545.587995455273</v>
      </c>
      <c r="L642" s="719">
        <v>13200</v>
      </c>
      <c r="S642" s="704">
        <f t="shared" si="90"/>
        <v>462000</v>
      </c>
      <c r="T642" s="903">
        <f t="shared" si="91"/>
        <v>369095.57984093454</v>
      </c>
    </row>
    <row r="643" spans="1:20" ht="17.25" customHeight="1">
      <c r="A643" s="708">
        <f t="shared" si="80"/>
        <v>76</v>
      </c>
      <c r="B643" s="291" t="s">
        <v>1415</v>
      </c>
      <c r="C643" s="724">
        <v>42684</v>
      </c>
      <c r="D643" s="725" t="s">
        <v>1412</v>
      </c>
      <c r="E643" s="803">
        <v>90.5</v>
      </c>
      <c r="F643" s="802">
        <v>95.5</v>
      </c>
      <c r="G643" s="802">
        <v>10.6</v>
      </c>
      <c r="H643" s="798">
        <f t="shared" si="87"/>
        <v>4.1100000000000003</v>
      </c>
      <c r="I643" s="709">
        <v>37</v>
      </c>
      <c r="J643" s="709">
        <f t="shared" si="88"/>
        <v>152.07000000000002</v>
      </c>
      <c r="K643" s="709">
        <f t="shared" si="89"/>
        <v>34673.89332905694</v>
      </c>
      <c r="L643" s="719">
        <v>25200</v>
      </c>
      <c r="S643" s="704">
        <f t="shared" si="90"/>
        <v>932400</v>
      </c>
      <c r="T643" s="903">
        <f t="shared" si="91"/>
        <v>1282934.0531751069</v>
      </c>
    </row>
    <row r="644" spans="1:20" ht="17.25" customHeight="1">
      <c r="A644" s="708">
        <f t="shared" si="80"/>
        <v>77</v>
      </c>
      <c r="B644" s="291" t="s">
        <v>1416</v>
      </c>
      <c r="C644" s="724">
        <v>42684</v>
      </c>
      <c r="D644" s="725" t="s">
        <v>1412</v>
      </c>
      <c r="E644" s="803">
        <v>51</v>
      </c>
      <c r="F644" s="802">
        <v>40</v>
      </c>
      <c r="G644" s="802">
        <v>21</v>
      </c>
      <c r="H644" s="798">
        <f t="shared" si="87"/>
        <v>1.2</v>
      </c>
      <c r="I644" s="709">
        <v>85</v>
      </c>
      <c r="J644" s="709">
        <f t="shared" si="88"/>
        <v>102</v>
      </c>
      <c r="K644" s="709">
        <f t="shared" si="89"/>
        <v>10123.764475637063</v>
      </c>
      <c r="L644" s="719">
        <v>12600</v>
      </c>
      <c r="S644" s="704">
        <f t="shared" si="90"/>
        <v>1071000</v>
      </c>
      <c r="T644" s="903">
        <f t="shared" si="91"/>
        <v>860519.98042915028</v>
      </c>
    </row>
    <row r="645" spans="1:20" ht="17.25" customHeight="1">
      <c r="A645" s="708">
        <f t="shared" si="80"/>
        <v>78</v>
      </c>
      <c r="B645" s="291" t="s">
        <v>1473</v>
      </c>
      <c r="C645" s="724">
        <v>42684</v>
      </c>
      <c r="D645" s="725" t="s">
        <v>1417</v>
      </c>
      <c r="E645" s="803">
        <v>26.5</v>
      </c>
      <c r="F645" s="802">
        <v>26.5</v>
      </c>
      <c r="G645" s="802">
        <v>29</v>
      </c>
      <c r="H645" s="798">
        <f t="shared" si="87"/>
        <v>0.65</v>
      </c>
      <c r="I645" s="709">
        <v>300</v>
      </c>
      <c r="J645" s="709">
        <f t="shared" si="88"/>
        <v>195</v>
      </c>
      <c r="K645" s="709">
        <f t="shared" si="89"/>
        <v>5483.7057576367424</v>
      </c>
      <c r="L645" s="719">
        <v>6400</v>
      </c>
      <c r="S645" s="704">
        <f t="shared" si="90"/>
        <v>1920000</v>
      </c>
      <c r="T645" s="903">
        <f t="shared" si="91"/>
        <v>1645111.7272910227</v>
      </c>
    </row>
    <row r="646" spans="1:20" ht="17.25" customHeight="1">
      <c r="A646" s="708">
        <f t="shared" si="80"/>
        <v>79</v>
      </c>
      <c r="B646" s="291" t="s">
        <v>1419</v>
      </c>
      <c r="C646" s="724">
        <v>42686</v>
      </c>
      <c r="D646" s="725" t="s">
        <v>1418</v>
      </c>
      <c r="E646" s="803">
        <v>49</v>
      </c>
      <c r="F646" s="802">
        <v>38</v>
      </c>
      <c r="G646" s="802">
        <v>12.5</v>
      </c>
      <c r="H646" s="798">
        <f t="shared" si="87"/>
        <v>0.96</v>
      </c>
      <c r="I646" s="709">
        <v>319</v>
      </c>
      <c r="J646" s="709">
        <f t="shared" si="88"/>
        <v>306.24</v>
      </c>
      <c r="K646" s="709">
        <f t="shared" si="89"/>
        <v>8099.0115805096493</v>
      </c>
      <c r="L646" s="719">
        <v>10200</v>
      </c>
      <c r="S646" s="704">
        <f t="shared" si="90"/>
        <v>3253800</v>
      </c>
      <c r="T646" s="903">
        <f t="shared" si="91"/>
        <v>2583584.694182578</v>
      </c>
    </row>
    <row r="647" spans="1:20" ht="17.25" customHeight="1">
      <c r="A647" s="708">
        <f t="shared" si="80"/>
        <v>80</v>
      </c>
      <c r="B647" s="291" t="s">
        <v>1286</v>
      </c>
      <c r="C647" s="724">
        <v>42688</v>
      </c>
      <c r="D647" s="725" t="s">
        <v>1420</v>
      </c>
      <c r="E647" s="803">
        <v>52</v>
      </c>
      <c r="F647" s="802">
        <v>24.5</v>
      </c>
      <c r="G647" s="802">
        <v>24.5</v>
      </c>
      <c r="H647" s="798">
        <f t="shared" si="87"/>
        <v>0.82</v>
      </c>
      <c r="I647" s="709">
        <v>980</v>
      </c>
      <c r="J647" s="709">
        <f t="shared" si="88"/>
        <v>803.59999999999991</v>
      </c>
      <c r="K647" s="709">
        <f t="shared" si="89"/>
        <v>6917.9057250186588</v>
      </c>
      <c r="L647" s="719">
        <v>5000</v>
      </c>
      <c r="S647" s="704">
        <f t="shared" si="90"/>
        <v>4900000</v>
      </c>
      <c r="T647" s="903">
        <f t="shared" si="91"/>
        <v>6779547.610518286</v>
      </c>
    </row>
    <row r="648" spans="1:20" ht="17.25" customHeight="1">
      <c r="A648" s="708">
        <f t="shared" si="80"/>
        <v>81</v>
      </c>
      <c r="B648" s="291" t="s">
        <v>1287</v>
      </c>
      <c r="C648" s="724">
        <v>42688</v>
      </c>
      <c r="D648" s="725" t="s">
        <v>1420</v>
      </c>
      <c r="E648" s="803">
        <v>52</v>
      </c>
      <c r="F648" s="802">
        <v>26.5</v>
      </c>
      <c r="G648" s="802">
        <v>26.5</v>
      </c>
      <c r="H648" s="798">
        <f t="shared" si="87"/>
        <v>0.91</v>
      </c>
      <c r="I648" s="709">
        <v>1066</v>
      </c>
      <c r="J648" s="709">
        <f t="shared" si="88"/>
        <v>970.06000000000006</v>
      </c>
      <c r="K648" s="709">
        <f t="shared" si="89"/>
        <v>7677.1880606914392</v>
      </c>
      <c r="L648" s="719">
        <v>5550</v>
      </c>
      <c r="S648" s="704">
        <f t="shared" si="90"/>
        <v>5916300</v>
      </c>
      <c r="T648" s="903">
        <f t="shared" si="91"/>
        <v>8183882.4726970745</v>
      </c>
    </row>
    <row r="649" spans="1:20" ht="17.25" customHeight="1">
      <c r="A649" s="708">
        <f t="shared" si="80"/>
        <v>82</v>
      </c>
      <c r="B649" s="291" t="s">
        <v>422</v>
      </c>
      <c r="C649" s="724">
        <v>42688</v>
      </c>
      <c r="D649" s="725" t="s">
        <v>1420</v>
      </c>
      <c r="E649" s="803">
        <v>52</v>
      </c>
      <c r="F649" s="802">
        <v>32</v>
      </c>
      <c r="G649" s="802">
        <v>21</v>
      </c>
      <c r="H649" s="798">
        <f t="shared" si="87"/>
        <v>0.97</v>
      </c>
      <c r="I649" s="709">
        <v>560</v>
      </c>
      <c r="J649" s="709">
        <f t="shared" si="88"/>
        <v>543.19999999999993</v>
      </c>
      <c r="K649" s="709">
        <f t="shared" si="89"/>
        <v>8183.3762844732919</v>
      </c>
      <c r="L649" s="719">
        <v>5800</v>
      </c>
      <c r="S649" s="704">
        <f t="shared" si="90"/>
        <v>3248000</v>
      </c>
      <c r="T649" s="903">
        <f t="shared" si="91"/>
        <v>4582690.7193050431</v>
      </c>
    </row>
    <row r="650" spans="1:20" ht="17.25" customHeight="1">
      <c r="A650" s="708">
        <f t="shared" si="80"/>
        <v>83</v>
      </c>
      <c r="B650" s="291" t="s">
        <v>1573</v>
      </c>
      <c r="C650" s="724">
        <v>42689</v>
      </c>
      <c r="D650" s="725" t="s">
        <v>1572</v>
      </c>
      <c r="E650" s="803">
        <v>57</v>
      </c>
      <c r="F650" s="802">
        <v>39</v>
      </c>
      <c r="G650" s="802">
        <v>47</v>
      </c>
      <c r="H650" s="798">
        <f t="shared" si="87"/>
        <v>1.75</v>
      </c>
      <c r="I650" s="709">
        <v>127</v>
      </c>
      <c r="J650" s="709">
        <f t="shared" si="88"/>
        <v>222.25</v>
      </c>
      <c r="K650" s="709">
        <f t="shared" si="89"/>
        <v>14763.823193637383</v>
      </c>
      <c r="L650" s="719">
        <v>19500</v>
      </c>
      <c r="S650" s="704">
        <f t="shared" si="90"/>
        <v>2476500</v>
      </c>
      <c r="T650" s="903">
        <f t="shared" si="91"/>
        <v>1875005.5455919476</v>
      </c>
    </row>
    <row r="651" spans="1:20" ht="17.25" customHeight="1">
      <c r="A651" s="708">
        <f t="shared" si="80"/>
        <v>84</v>
      </c>
      <c r="B651" s="291" t="s">
        <v>1505</v>
      </c>
      <c r="C651" s="724">
        <v>42689</v>
      </c>
      <c r="D651" s="725" t="s">
        <v>1574</v>
      </c>
      <c r="E651" s="803">
        <v>50</v>
      </c>
      <c r="F651" s="802">
        <v>29.5</v>
      </c>
      <c r="G651" s="802">
        <v>19</v>
      </c>
      <c r="H651" s="798">
        <f t="shared" si="87"/>
        <v>0.84</v>
      </c>
      <c r="I651" s="709">
        <v>3900</v>
      </c>
      <c r="J651" s="709">
        <f t="shared" si="88"/>
        <v>3276</v>
      </c>
      <c r="K651" s="709">
        <f t="shared" si="89"/>
        <v>7086.635132945943</v>
      </c>
      <c r="L651" s="719">
        <v>4500</v>
      </c>
      <c r="S651" s="704">
        <f t="shared" si="90"/>
        <v>17550000</v>
      </c>
      <c r="T651" s="903">
        <f t="shared" si="91"/>
        <v>27637877.018489178</v>
      </c>
    </row>
    <row r="652" spans="1:20" ht="17.25" customHeight="1">
      <c r="A652" s="708">
        <f t="shared" si="80"/>
        <v>85</v>
      </c>
      <c r="B652" s="291" t="s">
        <v>1478</v>
      </c>
      <c r="C652" s="724">
        <v>42690</v>
      </c>
      <c r="D652" s="725" t="s">
        <v>1421</v>
      </c>
      <c r="E652" s="803">
        <v>43</v>
      </c>
      <c r="F652" s="802">
        <v>39</v>
      </c>
      <c r="G652" s="802">
        <v>27</v>
      </c>
      <c r="H652" s="798">
        <f t="shared" si="87"/>
        <v>1.17</v>
      </c>
      <c r="I652" s="709">
        <v>200</v>
      </c>
      <c r="J652" s="709">
        <f t="shared" si="88"/>
        <v>234</v>
      </c>
      <c r="K652" s="709">
        <f t="shared" si="89"/>
        <v>9870.670363746136</v>
      </c>
      <c r="L652" s="719">
        <v>12000</v>
      </c>
      <c r="S652" s="704">
        <f t="shared" si="90"/>
        <v>2400000</v>
      </c>
      <c r="T652" s="903">
        <f t="shared" si="91"/>
        <v>1974134.0727492273</v>
      </c>
    </row>
    <row r="653" spans="1:20" ht="17.25" customHeight="1">
      <c r="A653" s="708">
        <f t="shared" si="80"/>
        <v>86</v>
      </c>
      <c r="B653" s="291" t="s">
        <v>1423</v>
      </c>
      <c r="C653" s="724">
        <v>42691</v>
      </c>
      <c r="D653" s="725" t="s">
        <v>1422</v>
      </c>
      <c r="E653" s="803">
        <v>40</v>
      </c>
      <c r="F653" s="802">
        <v>29</v>
      </c>
      <c r="G653" s="802">
        <v>30</v>
      </c>
      <c r="H653" s="798">
        <f t="shared" si="87"/>
        <v>0.89</v>
      </c>
      <c r="I653" s="709">
        <v>509</v>
      </c>
      <c r="J653" s="709">
        <f t="shared" si="88"/>
        <v>453.01</v>
      </c>
      <c r="K653" s="709">
        <f t="shared" si="89"/>
        <v>7508.458652764155</v>
      </c>
      <c r="L653" s="719">
        <v>9409</v>
      </c>
      <c r="S653" s="704">
        <f t="shared" si="90"/>
        <v>4789181</v>
      </c>
      <c r="T653" s="903">
        <f t="shared" si="91"/>
        <v>3821805.4542569551</v>
      </c>
    </row>
    <row r="654" spans="1:20" ht="17.25" customHeight="1">
      <c r="A654" s="708">
        <f t="shared" si="80"/>
        <v>87</v>
      </c>
      <c r="B654" s="291" t="s">
        <v>1424</v>
      </c>
      <c r="C654" s="724">
        <v>42691</v>
      </c>
      <c r="D654" s="725" t="s">
        <v>1422</v>
      </c>
      <c r="E654" s="803">
        <v>44</v>
      </c>
      <c r="F654" s="802">
        <v>36</v>
      </c>
      <c r="G654" s="802">
        <v>20</v>
      </c>
      <c r="H654" s="798">
        <f t="shared" si="87"/>
        <v>0.97</v>
      </c>
      <c r="I654" s="709">
        <v>208</v>
      </c>
      <c r="J654" s="709">
        <f t="shared" si="88"/>
        <v>201.76</v>
      </c>
      <c r="K654" s="709">
        <f t="shared" si="89"/>
        <v>8183.3762844732919</v>
      </c>
      <c r="L654" s="719">
        <v>10409</v>
      </c>
      <c r="S654" s="704">
        <f t="shared" si="90"/>
        <v>2165072</v>
      </c>
      <c r="T654" s="903">
        <f t="shared" si="91"/>
        <v>1702142.2671704446</v>
      </c>
    </row>
    <row r="655" spans="1:20" ht="17.25" customHeight="1">
      <c r="A655" s="708">
        <f t="shared" si="80"/>
        <v>88</v>
      </c>
      <c r="B655" s="291" t="s">
        <v>1425</v>
      </c>
      <c r="C655" s="724">
        <v>42691</v>
      </c>
      <c r="D655" s="725" t="s">
        <v>1422</v>
      </c>
      <c r="E655" s="803">
        <v>45</v>
      </c>
      <c r="F655" s="802">
        <v>35</v>
      </c>
      <c r="G655" s="802">
        <v>26</v>
      </c>
      <c r="H655" s="798">
        <f t="shared" si="87"/>
        <v>1.06</v>
      </c>
      <c r="I655" s="709">
        <v>205</v>
      </c>
      <c r="J655" s="709">
        <f t="shared" si="88"/>
        <v>217.3</v>
      </c>
      <c r="K655" s="709">
        <f t="shared" si="89"/>
        <v>8942.6586201460723</v>
      </c>
      <c r="L655" s="719">
        <v>11400</v>
      </c>
      <c r="S655" s="704">
        <f t="shared" si="90"/>
        <v>2337000</v>
      </c>
      <c r="T655" s="903">
        <f t="shared" si="91"/>
        <v>1833245.0171299449</v>
      </c>
    </row>
    <row r="656" spans="1:20" ht="17.25" customHeight="1">
      <c r="A656" s="708">
        <f t="shared" si="80"/>
        <v>89</v>
      </c>
      <c r="B656" s="291" t="s">
        <v>562</v>
      </c>
      <c r="C656" s="724">
        <v>42692</v>
      </c>
      <c r="D656" s="725" t="s">
        <v>1427</v>
      </c>
      <c r="E656" s="803">
        <v>125</v>
      </c>
      <c r="F656" s="802">
        <v>185</v>
      </c>
      <c r="G656" s="802"/>
      <c r="H656" s="798">
        <f t="shared" si="87"/>
        <v>2.31</v>
      </c>
      <c r="I656" s="709">
        <v>500</v>
      </c>
      <c r="J656" s="709">
        <f t="shared" si="88"/>
        <v>1155</v>
      </c>
      <c r="K656" s="709">
        <f t="shared" si="89"/>
        <v>19488.246615601347</v>
      </c>
      <c r="L656" s="719">
        <v>12950</v>
      </c>
      <c r="S656" s="704">
        <f t="shared" si="90"/>
        <v>6475000</v>
      </c>
      <c r="T656" s="903">
        <f t="shared" si="91"/>
        <v>9744123.3078006729</v>
      </c>
    </row>
    <row r="657" spans="1:20" ht="17.25" customHeight="1">
      <c r="A657" s="708">
        <f t="shared" si="80"/>
        <v>90</v>
      </c>
      <c r="B657" s="291" t="s">
        <v>954</v>
      </c>
      <c r="C657" s="724">
        <v>42696</v>
      </c>
      <c r="D657" s="725" t="s">
        <v>1428</v>
      </c>
      <c r="E657" s="803">
        <v>50</v>
      </c>
      <c r="F657" s="802">
        <v>39</v>
      </c>
      <c r="G657" s="802">
        <v>31</v>
      </c>
      <c r="H657" s="798">
        <f t="shared" si="87"/>
        <v>1.34</v>
      </c>
      <c r="I657" s="709">
        <v>135</v>
      </c>
      <c r="J657" s="709">
        <f t="shared" si="88"/>
        <v>180.9</v>
      </c>
      <c r="K657" s="709">
        <f t="shared" si="89"/>
        <v>11304.870331128053</v>
      </c>
      <c r="L657" s="719">
        <v>19700</v>
      </c>
      <c r="S657" s="704">
        <f t="shared" si="90"/>
        <v>2659500</v>
      </c>
      <c r="T657" s="903">
        <f t="shared" si="91"/>
        <v>1526157.4947022873</v>
      </c>
    </row>
    <row r="658" spans="1:20" ht="17.25" customHeight="1">
      <c r="A658" s="708">
        <f t="shared" si="80"/>
        <v>91</v>
      </c>
      <c r="B658" s="291" t="s">
        <v>1465</v>
      </c>
      <c r="C658" s="724">
        <v>42696</v>
      </c>
      <c r="D658" s="725" t="s">
        <v>1429</v>
      </c>
      <c r="E658" s="803">
        <v>41</v>
      </c>
      <c r="F658" s="802">
        <v>39</v>
      </c>
      <c r="G658" s="802">
        <v>20</v>
      </c>
      <c r="H658" s="798">
        <f t="shared" si="87"/>
        <v>1.02</v>
      </c>
      <c r="I658" s="709">
        <v>300</v>
      </c>
      <c r="J658" s="709">
        <f t="shared" si="88"/>
        <v>306</v>
      </c>
      <c r="K658" s="709">
        <f t="shared" si="89"/>
        <v>8605.1998042915038</v>
      </c>
      <c r="L658" s="719">
        <v>10900</v>
      </c>
      <c r="S658" s="704">
        <f t="shared" si="90"/>
        <v>3270000</v>
      </c>
      <c r="T658" s="903">
        <f t="shared" si="91"/>
        <v>2581559.941287451</v>
      </c>
    </row>
    <row r="659" spans="1:20" ht="17.25" customHeight="1">
      <c r="A659" s="708">
        <f t="shared" si="80"/>
        <v>92</v>
      </c>
      <c r="B659" s="291" t="s">
        <v>1432</v>
      </c>
      <c r="C659" s="724">
        <v>42697</v>
      </c>
      <c r="D659" s="725" t="s">
        <v>1430</v>
      </c>
      <c r="E659" s="803">
        <v>44</v>
      </c>
      <c r="F659" s="802">
        <v>27.5</v>
      </c>
      <c r="G659" s="802">
        <v>22.5</v>
      </c>
      <c r="H659" s="798">
        <f t="shared" si="87"/>
        <v>0.78</v>
      </c>
      <c r="I659" s="709">
        <v>10170</v>
      </c>
      <c r="J659" s="709">
        <f t="shared" si="88"/>
        <v>7932.6</v>
      </c>
      <c r="K659" s="709">
        <f t="shared" si="89"/>
        <v>6580.4469091640904</v>
      </c>
      <c r="L659" s="719">
        <v>9000</v>
      </c>
      <c r="S659" s="704">
        <f t="shared" si="90"/>
        <v>91530000</v>
      </c>
      <c r="T659" s="903">
        <f t="shared" si="91"/>
        <v>66923145.066198796</v>
      </c>
    </row>
    <row r="660" spans="1:20" ht="17.25" customHeight="1">
      <c r="A660" s="708">
        <f t="shared" si="80"/>
        <v>93</v>
      </c>
      <c r="B660" s="291" t="s">
        <v>1286</v>
      </c>
      <c r="C660" s="724">
        <v>42697</v>
      </c>
      <c r="D660" s="725" t="s">
        <v>1433</v>
      </c>
      <c r="E660" s="803">
        <v>52</v>
      </c>
      <c r="F660" s="802">
        <v>24.5</v>
      </c>
      <c r="G660" s="802">
        <v>24.5</v>
      </c>
      <c r="H660" s="798">
        <f t="shared" si="87"/>
        <v>0.82</v>
      </c>
      <c r="I660" s="709">
        <v>637</v>
      </c>
      <c r="J660" s="709">
        <f t="shared" si="88"/>
        <v>522.33999999999992</v>
      </c>
      <c r="K660" s="709">
        <f t="shared" si="89"/>
        <v>6917.9057250186588</v>
      </c>
      <c r="L660" s="719">
        <v>5000</v>
      </c>
      <c r="S660" s="704">
        <f t="shared" si="90"/>
        <v>3185000</v>
      </c>
      <c r="T660" s="903">
        <f t="shared" si="91"/>
        <v>4406705.946836886</v>
      </c>
    </row>
    <row r="661" spans="1:20" ht="17.25" customHeight="1">
      <c r="A661" s="708">
        <f t="shared" si="80"/>
        <v>94</v>
      </c>
      <c r="B661" s="291" t="s">
        <v>1434</v>
      </c>
      <c r="C661" s="724">
        <v>42697</v>
      </c>
      <c r="D661" s="725" t="s">
        <v>1433</v>
      </c>
      <c r="E661" s="803">
        <v>55</v>
      </c>
      <c r="F661" s="802">
        <v>45</v>
      </c>
      <c r="G661" s="802">
        <v>30</v>
      </c>
      <c r="H661" s="798">
        <f t="shared" si="87"/>
        <v>1.6</v>
      </c>
      <c r="I661" s="709">
        <v>469</v>
      </c>
      <c r="J661" s="709">
        <f t="shared" si="88"/>
        <v>750.40000000000009</v>
      </c>
      <c r="K661" s="709">
        <f t="shared" si="89"/>
        <v>13498.352634182751</v>
      </c>
      <c r="L661" s="719">
        <v>9700</v>
      </c>
      <c r="S661" s="704">
        <f t="shared" si="90"/>
        <v>4549300</v>
      </c>
      <c r="T661" s="903">
        <f t="shared" si="91"/>
        <v>6330727.3854317106</v>
      </c>
    </row>
    <row r="662" spans="1:20" ht="17.25" customHeight="1">
      <c r="A662" s="708">
        <f t="shared" si="80"/>
        <v>95</v>
      </c>
      <c r="B662" s="291" t="s">
        <v>1474</v>
      </c>
      <c r="C662" s="724">
        <v>42699</v>
      </c>
      <c r="D662" s="725" t="s">
        <v>1435</v>
      </c>
      <c r="E662" s="803">
        <v>49</v>
      </c>
      <c r="F662" s="802">
        <v>38</v>
      </c>
      <c r="G662" s="802">
        <v>12</v>
      </c>
      <c r="H662" s="798">
        <f t="shared" si="87"/>
        <v>0.95</v>
      </c>
      <c r="I662" s="709">
        <v>520</v>
      </c>
      <c r="J662" s="709">
        <f t="shared" si="88"/>
        <v>494</v>
      </c>
      <c r="K662" s="709">
        <f t="shared" si="89"/>
        <v>8014.6468765460077</v>
      </c>
      <c r="L662" s="719">
        <v>10500</v>
      </c>
      <c r="S662" s="704">
        <f t="shared" si="90"/>
        <v>5460000</v>
      </c>
      <c r="T662" s="903">
        <f t="shared" si="91"/>
        <v>4167616.3758039242</v>
      </c>
    </row>
    <row r="663" spans="1:20" ht="17.25" customHeight="1">
      <c r="A663" s="708">
        <f t="shared" si="80"/>
        <v>96</v>
      </c>
      <c r="B663" s="291" t="s">
        <v>1474</v>
      </c>
      <c r="C663" s="724">
        <v>42699</v>
      </c>
      <c r="D663" s="725" t="s">
        <v>1435</v>
      </c>
      <c r="E663" s="803">
        <v>49</v>
      </c>
      <c r="F663" s="802">
        <v>38</v>
      </c>
      <c r="G663" s="802">
        <v>12</v>
      </c>
      <c r="H663" s="798">
        <f t="shared" si="87"/>
        <v>0.95</v>
      </c>
      <c r="I663" s="709">
        <v>506</v>
      </c>
      <c r="J663" s="709">
        <f t="shared" si="88"/>
        <v>480.7</v>
      </c>
      <c r="K663" s="709">
        <f t="shared" si="89"/>
        <v>8014.6468765460077</v>
      </c>
      <c r="L663" s="719">
        <v>10500</v>
      </c>
      <c r="S663" s="704">
        <f t="shared" si="90"/>
        <v>5313000</v>
      </c>
      <c r="T663" s="903">
        <f t="shared" si="91"/>
        <v>4055411.3195322799</v>
      </c>
    </row>
    <row r="664" spans="1:20" ht="17.25" customHeight="1">
      <c r="A664" s="708">
        <f t="shared" si="80"/>
        <v>97</v>
      </c>
      <c r="B664" s="291" t="s">
        <v>1409</v>
      </c>
      <c r="C664" s="724">
        <v>42699</v>
      </c>
      <c r="D664" s="725" t="s">
        <v>1436</v>
      </c>
      <c r="E664" s="803">
        <v>47.5</v>
      </c>
      <c r="F664" s="802">
        <v>35.5</v>
      </c>
      <c r="G664" s="802">
        <v>27</v>
      </c>
      <c r="H664" s="798">
        <f t="shared" si="87"/>
        <v>1.1200000000000001</v>
      </c>
      <c r="I664" s="709">
        <v>131</v>
      </c>
      <c r="J664" s="709">
        <f t="shared" si="88"/>
        <v>146.72000000000003</v>
      </c>
      <c r="K664" s="709">
        <f t="shared" si="89"/>
        <v>9448.8468439279259</v>
      </c>
      <c r="L664" s="719">
        <v>13600</v>
      </c>
      <c r="S664" s="704">
        <f t="shared" si="90"/>
        <v>1781600</v>
      </c>
      <c r="T664" s="903">
        <f t="shared" si="91"/>
        <v>1237798.9365545583</v>
      </c>
    </row>
    <row r="665" spans="1:20" ht="17.25" customHeight="1">
      <c r="A665" s="708">
        <f t="shared" si="80"/>
        <v>98</v>
      </c>
      <c r="B665" s="291" t="s">
        <v>1437</v>
      </c>
      <c r="C665" s="724">
        <v>42699</v>
      </c>
      <c r="D665" s="725" t="s">
        <v>1436</v>
      </c>
      <c r="E665" s="803">
        <v>29</v>
      </c>
      <c r="F665" s="802">
        <v>29</v>
      </c>
      <c r="G665" s="802">
        <v>44.5</v>
      </c>
      <c r="H665" s="798">
        <f t="shared" si="87"/>
        <v>0.93</v>
      </c>
      <c r="I665" s="709">
        <v>156</v>
      </c>
      <c r="J665" s="709">
        <f t="shared" si="88"/>
        <v>145.08000000000001</v>
      </c>
      <c r="K665" s="709">
        <f t="shared" si="89"/>
        <v>7845.9174686187234</v>
      </c>
      <c r="L665" s="719">
        <v>7200</v>
      </c>
      <c r="S665" s="704">
        <f t="shared" si="90"/>
        <v>1123200</v>
      </c>
      <c r="T665" s="903">
        <f t="shared" si="91"/>
        <v>1223963.1251045209</v>
      </c>
    </row>
    <row r="666" spans="1:20" ht="17.25" customHeight="1">
      <c r="A666" s="708">
        <f t="shared" si="80"/>
        <v>99</v>
      </c>
      <c r="B666" s="291" t="s">
        <v>1439</v>
      </c>
      <c r="C666" s="724">
        <v>42699</v>
      </c>
      <c r="D666" s="725" t="s">
        <v>1438</v>
      </c>
      <c r="E666" s="803">
        <v>47.5</v>
      </c>
      <c r="F666" s="802">
        <v>39.5</v>
      </c>
      <c r="G666" s="802">
        <v>25</v>
      </c>
      <c r="H666" s="798">
        <f t="shared" si="87"/>
        <v>1.21</v>
      </c>
      <c r="I666" s="709">
        <v>23</v>
      </c>
      <c r="J666" s="709">
        <f t="shared" si="88"/>
        <v>27.83</v>
      </c>
      <c r="K666" s="709">
        <f t="shared" si="89"/>
        <v>10208.129179600704</v>
      </c>
      <c r="L666" s="719">
        <v>13200</v>
      </c>
      <c r="S666" s="704">
        <f t="shared" si="90"/>
        <v>303600</v>
      </c>
      <c r="T666" s="903">
        <f t="shared" si="91"/>
        <v>234786.97113081621</v>
      </c>
    </row>
    <row r="667" spans="1:20" ht="17.25" customHeight="1">
      <c r="A667" s="708">
        <f t="shared" si="80"/>
        <v>100</v>
      </c>
      <c r="B667" s="291" t="s">
        <v>1440</v>
      </c>
      <c r="C667" s="724">
        <v>42699</v>
      </c>
      <c r="D667" s="725" t="s">
        <v>1438</v>
      </c>
      <c r="E667" s="803">
        <v>55.9</v>
      </c>
      <c r="F667" s="802">
        <v>28.8</v>
      </c>
      <c r="G667" s="802">
        <v>28.7</v>
      </c>
      <c r="H667" s="798">
        <f t="shared" si="87"/>
        <v>1.06</v>
      </c>
      <c r="I667" s="709">
        <v>500</v>
      </c>
      <c r="J667" s="709">
        <f t="shared" si="88"/>
        <v>530</v>
      </c>
      <c r="K667" s="709">
        <f t="shared" si="89"/>
        <v>8942.6586201460723</v>
      </c>
      <c r="L667" s="719">
        <v>7300</v>
      </c>
      <c r="S667" s="704">
        <f t="shared" si="90"/>
        <v>3650000</v>
      </c>
      <c r="T667" s="903">
        <f t="shared" si="91"/>
        <v>4471329.3100730358</v>
      </c>
    </row>
    <row r="668" spans="1:20" ht="17.25" customHeight="1">
      <c r="A668" s="708">
        <f t="shared" si="80"/>
        <v>101</v>
      </c>
      <c r="B668" s="291" t="s">
        <v>1477</v>
      </c>
      <c r="C668" s="724">
        <v>42700</v>
      </c>
      <c r="D668" s="725" t="s">
        <v>1445</v>
      </c>
      <c r="E668" s="803">
        <v>63</v>
      </c>
      <c r="F668" s="802">
        <v>53</v>
      </c>
      <c r="G668" s="802">
        <v>32</v>
      </c>
      <c r="H668" s="798">
        <f t="shared" si="87"/>
        <v>2.09</v>
      </c>
      <c r="I668" s="709">
        <v>200</v>
      </c>
      <c r="J668" s="709">
        <f t="shared" si="88"/>
        <v>418</v>
      </c>
      <c r="K668" s="709">
        <f t="shared" si="89"/>
        <v>17632.223128401216</v>
      </c>
      <c r="L668" s="626">
        <v>18300</v>
      </c>
      <c r="M668" s="626"/>
      <c r="S668" s="704">
        <f t="shared" si="90"/>
        <v>3660000</v>
      </c>
      <c r="T668" s="903">
        <f t="shared" si="91"/>
        <v>3526444.6256802431</v>
      </c>
    </row>
    <row r="669" spans="1:20" ht="17.25" customHeight="1">
      <c r="A669" s="708">
        <f t="shared" si="80"/>
        <v>102</v>
      </c>
      <c r="B669" s="291" t="s">
        <v>1366</v>
      </c>
      <c r="C669" s="724">
        <v>42700</v>
      </c>
      <c r="D669" s="725" t="s">
        <v>841</v>
      </c>
      <c r="E669" s="803">
        <v>43</v>
      </c>
      <c r="F669" s="802">
        <v>27.5</v>
      </c>
      <c r="G669" s="802">
        <v>33</v>
      </c>
      <c r="H669" s="798">
        <f t="shared" si="87"/>
        <v>0.93</v>
      </c>
      <c r="I669" s="709">
        <v>259</v>
      </c>
      <c r="J669" s="709">
        <f t="shared" si="88"/>
        <v>240.87</v>
      </c>
      <c r="K669" s="709">
        <f t="shared" si="89"/>
        <v>7845.9174686187234</v>
      </c>
      <c r="L669" s="719">
        <v>9800</v>
      </c>
      <c r="M669" s="626"/>
      <c r="S669" s="704">
        <f t="shared" si="90"/>
        <v>2538200</v>
      </c>
      <c r="T669" s="903">
        <f t="shared" si="91"/>
        <v>2032092.6243722495</v>
      </c>
    </row>
    <row r="670" spans="1:20" ht="17.25" customHeight="1">
      <c r="A670" s="708">
        <f t="shared" si="80"/>
        <v>103</v>
      </c>
      <c r="B670" s="291" t="s">
        <v>1446</v>
      </c>
      <c r="C670" s="724">
        <v>42700</v>
      </c>
      <c r="D670" s="725" t="s">
        <v>841</v>
      </c>
      <c r="E670" s="803">
        <v>72</v>
      </c>
      <c r="F670" s="802">
        <v>51.5</v>
      </c>
      <c r="G670" s="802">
        <v>4</v>
      </c>
      <c r="H670" s="798">
        <f t="shared" si="87"/>
        <v>1.47</v>
      </c>
      <c r="I670" s="709">
        <v>286</v>
      </c>
      <c r="J670" s="709">
        <f t="shared" si="88"/>
        <v>420.42</v>
      </c>
      <c r="K670" s="709">
        <f t="shared" si="89"/>
        <v>12401.611482655402</v>
      </c>
      <c r="L670" s="719">
        <v>7900</v>
      </c>
      <c r="M670" s="626"/>
      <c r="S670" s="704">
        <f t="shared" si="90"/>
        <v>2259400</v>
      </c>
      <c r="T670" s="903">
        <f t="shared" si="91"/>
        <v>3546860.8840394448</v>
      </c>
    </row>
    <row r="671" spans="1:20" ht="17.25" customHeight="1">
      <c r="A671" s="708">
        <f t="shared" si="80"/>
        <v>104</v>
      </c>
      <c r="B671" s="291" t="s">
        <v>1447</v>
      </c>
      <c r="C671" s="724">
        <v>42700</v>
      </c>
      <c r="D671" s="725" t="s">
        <v>841</v>
      </c>
      <c r="E671" s="803">
        <v>39.5</v>
      </c>
      <c r="F671" s="802">
        <v>32.299999999999997</v>
      </c>
      <c r="G671" s="802">
        <v>27.7</v>
      </c>
      <c r="H671" s="798">
        <f t="shared" si="87"/>
        <v>0.94</v>
      </c>
      <c r="I671" s="709">
        <v>308</v>
      </c>
      <c r="J671" s="709">
        <f t="shared" si="88"/>
        <v>289.52</v>
      </c>
      <c r="K671" s="709">
        <f t="shared" si="89"/>
        <v>7930.2821725823651</v>
      </c>
      <c r="L671" s="719">
        <v>9400</v>
      </c>
      <c r="S671" s="704">
        <f t="shared" si="90"/>
        <v>2895200</v>
      </c>
      <c r="T671" s="903">
        <f t="shared" si="91"/>
        <v>2442526.9091553683</v>
      </c>
    </row>
    <row r="672" spans="1:20" ht="17.25" customHeight="1">
      <c r="A672" s="708">
        <f t="shared" si="80"/>
        <v>105</v>
      </c>
      <c r="B672" s="291" t="s">
        <v>1449</v>
      </c>
      <c r="C672" s="724">
        <v>42701</v>
      </c>
      <c r="D672" s="725" t="s">
        <v>1448</v>
      </c>
      <c r="E672" s="803">
        <v>58</v>
      </c>
      <c r="F672" s="802">
        <v>41</v>
      </c>
      <c r="G672" s="802">
        <v>13</v>
      </c>
      <c r="H672" s="798">
        <f t="shared" si="87"/>
        <v>1.1599999999999999</v>
      </c>
      <c r="I672" s="709">
        <v>48</v>
      </c>
      <c r="J672" s="709">
        <f t="shared" si="88"/>
        <v>55.679999999999993</v>
      </c>
      <c r="K672" s="709">
        <f t="shared" si="89"/>
        <v>9786.3056597824925</v>
      </c>
      <c r="L672" s="719">
        <v>14900</v>
      </c>
      <c r="S672" s="704">
        <f t="shared" si="90"/>
        <v>715200</v>
      </c>
      <c r="T672" s="903">
        <f t="shared" si="91"/>
        <v>469742.67166955967</v>
      </c>
    </row>
    <row r="673" spans="1:20" ht="17.25" customHeight="1">
      <c r="A673" s="708">
        <f t="shared" si="80"/>
        <v>106</v>
      </c>
      <c r="B673" s="291" t="s">
        <v>1505</v>
      </c>
      <c r="C673" s="724">
        <v>42701</v>
      </c>
      <c r="D673" s="725" t="s">
        <v>1502</v>
      </c>
      <c r="E673" s="803">
        <v>50</v>
      </c>
      <c r="F673" s="802">
        <v>29.5</v>
      </c>
      <c r="G673" s="802">
        <v>19</v>
      </c>
      <c r="H673" s="798">
        <f t="shared" si="87"/>
        <v>0.84</v>
      </c>
      <c r="I673" s="709">
        <v>4000</v>
      </c>
      <c r="J673" s="709">
        <f t="shared" si="88"/>
        <v>3360</v>
      </c>
      <c r="K673" s="709">
        <f t="shared" si="89"/>
        <v>7086.635132945943</v>
      </c>
      <c r="L673" s="719">
        <v>4500</v>
      </c>
      <c r="S673" s="704">
        <f t="shared" si="90"/>
        <v>18000000</v>
      </c>
      <c r="T673" s="903">
        <f t="shared" si="91"/>
        <v>28346540.531783771</v>
      </c>
    </row>
    <row r="674" spans="1:20" ht="17.25" customHeight="1">
      <c r="A674" s="708">
        <f t="shared" si="80"/>
        <v>107</v>
      </c>
      <c r="B674" s="291" t="s">
        <v>1505</v>
      </c>
      <c r="C674" s="724">
        <v>42702</v>
      </c>
      <c r="D674" s="725" t="s">
        <v>1506</v>
      </c>
      <c r="E674" s="803">
        <v>50</v>
      </c>
      <c r="F674" s="802">
        <v>29.5</v>
      </c>
      <c r="G674" s="802">
        <v>19</v>
      </c>
      <c r="H674" s="798">
        <f t="shared" si="87"/>
        <v>0.84</v>
      </c>
      <c r="I674" s="709">
        <v>1700</v>
      </c>
      <c r="J674" s="709">
        <f t="shared" si="88"/>
        <v>1428</v>
      </c>
      <c r="K674" s="709">
        <f t="shared" si="89"/>
        <v>7086.635132945943</v>
      </c>
      <c r="L674" s="719">
        <v>4500</v>
      </c>
      <c r="S674" s="704">
        <f t="shared" si="90"/>
        <v>7650000</v>
      </c>
      <c r="T674" s="903">
        <f t="shared" si="91"/>
        <v>12047279.726008102</v>
      </c>
    </row>
    <row r="675" spans="1:20" ht="17.25" customHeight="1">
      <c r="A675" s="708">
        <f t="shared" si="80"/>
        <v>108</v>
      </c>
      <c r="B675" s="291" t="s">
        <v>1505</v>
      </c>
      <c r="C675" s="724">
        <v>42703</v>
      </c>
      <c r="D675" s="725" t="s">
        <v>1507</v>
      </c>
      <c r="E675" s="803">
        <v>50</v>
      </c>
      <c r="F675" s="802">
        <v>29.5</v>
      </c>
      <c r="G675" s="802">
        <v>19</v>
      </c>
      <c r="H675" s="798">
        <f t="shared" si="87"/>
        <v>0.84</v>
      </c>
      <c r="I675" s="709">
        <v>4000</v>
      </c>
      <c r="J675" s="709">
        <f t="shared" si="88"/>
        <v>3360</v>
      </c>
      <c r="K675" s="709">
        <f t="shared" si="89"/>
        <v>7086.635132945943</v>
      </c>
      <c r="L675" s="719">
        <v>4500</v>
      </c>
      <c r="S675" s="704">
        <f t="shared" si="90"/>
        <v>18000000</v>
      </c>
      <c r="T675" s="903">
        <f t="shared" si="91"/>
        <v>28346540.531783771</v>
      </c>
    </row>
    <row r="676" spans="1:20" ht="17.25" customHeight="1">
      <c r="A676" s="708">
        <f t="shared" si="80"/>
        <v>109</v>
      </c>
      <c r="B676" s="291" t="s">
        <v>1505</v>
      </c>
      <c r="C676" s="724">
        <v>42705</v>
      </c>
      <c r="D676" s="725" t="s">
        <v>1508</v>
      </c>
      <c r="E676" s="803">
        <v>50</v>
      </c>
      <c r="F676" s="802">
        <v>29.5</v>
      </c>
      <c r="G676" s="802">
        <v>19</v>
      </c>
      <c r="H676" s="798">
        <f t="shared" si="87"/>
        <v>0.84</v>
      </c>
      <c r="I676" s="709">
        <v>4000</v>
      </c>
      <c r="J676" s="709">
        <f t="shared" si="88"/>
        <v>3360</v>
      </c>
      <c r="K676" s="709">
        <f t="shared" si="89"/>
        <v>7086.635132945943</v>
      </c>
      <c r="L676" s="719">
        <v>4500</v>
      </c>
      <c r="S676" s="704">
        <f t="shared" si="90"/>
        <v>18000000</v>
      </c>
      <c r="T676" s="903">
        <f t="shared" si="91"/>
        <v>28346540.531783771</v>
      </c>
    </row>
    <row r="677" spans="1:20" ht="17.25" customHeight="1">
      <c r="A677" s="708">
        <f t="shared" si="80"/>
        <v>110</v>
      </c>
      <c r="B677" s="291" t="s">
        <v>1286</v>
      </c>
      <c r="C677" s="724">
        <v>42709</v>
      </c>
      <c r="D677" s="725" t="s">
        <v>1510</v>
      </c>
      <c r="E677" s="803">
        <v>52</v>
      </c>
      <c r="F677" s="802">
        <v>24.5</v>
      </c>
      <c r="G677" s="802">
        <v>24.5</v>
      </c>
      <c r="H677" s="798">
        <f t="shared" si="87"/>
        <v>0.82</v>
      </c>
      <c r="I677" s="709">
        <v>1870</v>
      </c>
      <c r="J677" s="709">
        <f t="shared" si="88"/>
        <v>1533.3999999999999</v>
      </c>
      <c r="K677" s="709">
        <f t="shared" si="89"/>
        <v>6917.9057250186588</v>
      </c>
      <c r="L677" s="719">
        <v>5000</v>
      </c>
      <c r="S677" s="704">
        <f t="shared" si="90"/>
        <v>9350000</v>
      </c>
      <c r="T677" s="903">
        <f t="shared" si="91"/>
        <v>12936483.705784893</v>
      </c>
    </row>
    <row r="678" spans="1:20" ht="17.25" customHeight="1">
      <c r="A678" s="708">
        <f t="shared" si="80"/>
        <v>111</v>
      </c>
      <c r="B678" s="291" t="s">
        <v>471</v>
      </c>
      <c r="C678" s="724">
        <v>42709</v>
      </c>
      <c r="D678" s="725" t="s">
        <v>1510</v>
      </c>
      <c r="E678" s="803">
        <v>55</v>
      </c>
      <c r="F678" s="802">
        <v>45</v>
      </c>
      <c r="G678" s="802">
        <v>29</v>
      </c>
      <c r="H678" s="798">
        <f t="shared" si="87"/>
        <v>1.58</v>
      </c>
      <c r="I678" s="709">
        <v>535</v>
      </c>
      <c r="J678" s="709">
        <f t="shared" si="88"/>
        <v>845.30000000000007</v>
      </c>
      <c r="K678" s="709">
        <f t="shared" si="89"/>
        <v>13329.623226255466</v>
      </c>
      <c r="L678" s="719">
        <v>9700</v>
      </c>
      <c r="S678" s="704">
        <f t="shared" si="90"/>
        <v>5189500</v>
      </c>
      <c r="T678" s="903">
        <f t="shared" si="91"/>
        <v>7131348.4260466741</v>
      </c>
    </row>
    <row r="679" spans="1:20" ht="17.25" customHeight="1">
      <c r="A679" s="708">
        <f t="shared" si="80"/>
        <v>112</v>
      </c>
      <c r="B679" s="291" t="s">
        <v>1287</v>
      </c>
      <c r="C679" s="724">
        <v>42709</v>
      </c>
      <c r="D679" s="725" t="s">
        <v>1510</v>
      </c>
      <c r="E679" s="803">
        <v>55</v>
      </c>
      <c r="F679" s="802">
        <v>26.5</v>
      </c>
      <c r="G679" s="802">
        <v>26.5</v>
      </c>
      <c r="H679" s="798">
        <f t="shared" si="87"/>
        <v>0.94</v>
      </c>
      <c r="I679" s="709">
        <v>520</v>
      </c>
      <c r="J679" s="709">
        <f t="shared" si="88"/>
        <v>488.79999999999995</v>
      </c>
      <c r="K679" s="709">
        <f t="shared" si="89"/>
        <v>7930.2821725823651</v>
      </c>
      <c r="L679" s="719">
        <v>5550</v>
      </c>
      <c r="S679" s="704">
        <f t="shared" si="90"/>
        <v>2886000</v>
      </c>
      <c r="T679" s="903">
        <f t="shared" si="91"/>
        <v>4123746.7297428297</v>
      </c>
    </row>
    <row r="680" spans="1:20" ht="17.25" customHeight="1">
      <c r="A680" s="708">
        <f t="shared" si="80"/>
        <v>113</v>
      </c>
      <c r="B680" s="291" t="s">
        <v>1512</v>
      </c>
      <c r="C680" s="724">
        <v>42710</v>
      </c>
      <c r="D680" s="725" t="s">
        <v>1511</v>
      </c>
      <c r="E680" s="803">
        <v>68</v>
      </c>
      <c r="F680" s="802">
        <v>35</v>
      </c>
      <c r="G680" s="802">
        <v>18</v>
      </c>
      <c r="H680" s="798">
        <f t="shared" si="87"/>
        <v>1.18</v>
      </c>
      <c r="I680" s="709">
        <v>52</v>
      </c>
      <c r="J680" s="709">
        <f t="shared" si="88"/>
        <v>61.36</v>
      </c>
      <c r="K680" s="709">
        <f t="shared" si="89"/>
        <v>9955.0350677097776</v>
      </c>
      <c r="L680" s="719">
        <v>11600</v>
      </c>
      <c r="S680" s="704">
        <f t="shared" si="90"/>
        <v>603200</v>
      </c>
      <c r="T680" s="903">
        <f t="shared" si="91"/>
        <v>517661.82352090842</v>
      </c>
    </row>
    <row r="681" spans="1:20" ht="17.25" customHeight="1">
      <c r="A681" s="708">
        <f t="shared" si="80"/>
        <v>114</v>
      </c>
      <c r="B681" s="291" t="s">
        <v>1513</v>
      </c>
      <c r="C681" s="724">
        <v>42710</v>
      </c>
      <c r="D681" s="725" t="s">
        <v>1511</v>
      </c>
      <c r="E681" s="803">
        <v>56</v>
      </c>
      <c r="F681" s="802">
        <v>42</v>
      </c>
      <c r="G681" s="802">
        <v>9.5</v>
      </c>
      <c r="H681" s="798">
        <f t="shared" si="87"/>
        <v>1.1000000000000001</v>
      </c>
      <c r="I681" s="709">
        <v>114</v>
      </c>
      <c r="J681" s="709">
        <f t="shared" si="88"/>
        <v>125.4</v>
      </c>
      <c r="K681" s="709">
        <f t="shared" si="89"/>
        <v>9280.1174360006407</v>
      </c>
      <c r="L681" s="719">
        <v>12000</v>
      </c>
      <c r="S681" s="704">
        <f t="shared" si="90"/>
        <v>1368000</v>
      </c>
      <c r="T681" s="903">
        <f t="shared" si="91"/>
        <v>1057933.387704073</v>
      </c>
    </row>
    <row r="682" spans="1:20" ht="17.25" customHeight="1">
      <c r="A682" s="708">
        <f t="shared" si="80"/>
        <v>115</v>
      </c>
      <c r="B682" s="291" t="s">
        <v>1516</v>
      </c>
      <c r="C682" s="724">
        <v>42710</v>
      </c>
      <c r="D682" s="725" t="s">
        <v>1514</v>
      </c>
      <c r="E682" s="803">
        <v>30</v>
      </c>
      <c r="F682" s="802">
        <v>16</v>
      </c>
      <c r="G682" s="802">
        <v>17.100000000000001</v>
      </c>
      <c r="H682" s="798">
        <f t="shared" si="87"/>
        <v>0.35</v>
      </c>
      <c r="I682" s="709">
        <v>879</v>
      </c>
      <c r="J682" s="709">
        <f t="shared" si="88"/>
        <v>307.64999999999998</v>
      </c>
      <c r="K682" s="709">
        <f t="shared" si="89"/>
        <v>2952.7646387274763</v>
      </c>
      <c r="L682" s="719">
        <v>3100</v>
      </c>
      <c r="S682" s="704">
        <f t="shared" si="90"/>
        <v>2724900</v>
      </c>
      <c r="T682" s="903">
        <f t="shared" si="91"/>
        <v>2595480.1174414516</v>
      </c>
    </row>
    <row r="683" spans="1:20" ht="17.25" customHeight="1">
      <c r="A683" s="708">
        <f t="shared" si="80"/>
        <v>116</v>
      </c>
      <c r="B683" s="291" t="s">
        <v>1517</v>
      </c>
      <c r="C683" s="724">
        <v>42710</v>
      </c>
      <c r="D683" s="725" t="s">
        <v>1514</v>
      </c>
      <c r="E683" s="803">
        <v>38.700000000000003</v>
      </c>
      <c r="F683" s="802">
        <v>20</v>
      </c>
      <c r="G683" s="802">
        <v>17.100000000000001</v>
      </c>
      <c r="H683" s="798">
        <f t="shared" si="87"/>
        <v>0.49</v>
      </c>
      <c r="I683" s="709">
        <v>523</v>
      </c>
      <c r="J683" s="709">
        <f t="shared" si="88"/>
        <v>256.27</v>
      </c>
      <c r="K683" s="709">
        <f t="shared" si="89"/>
        <v>4133.8704942184668</v>
      </c>
      <c r="L683" s="719">
        <v>4300</v>
      </c>
      <c r="S683" s="704">
        <f t="shared" si="90"/>
        <v>2248900</v>
      </c>
      <c r="T683" s="903">
        <f t="shared" si="91"/>
        <v>2162014.268476258</v>
      </c>
    </row>
    <row r="684" spans="1:20" ht="17.25" customHeight="1">
      <c r="A684" s="708">
        <f t="shared" si="80"/>
        <v>117</v>
      </c>
      <c r="B684" s="291" t="s">
        <v>1505</v>
      </c>
      <c r="C684" s="724">
        <v>42710</v>
      </c>
      <c r="D684" s="725" t="s">
        <v>1518</v>
      </c>
      <c r="E684" s="803">
        <v>50</v>
      </c>
      <c r="F684" s="802">
        <v>29.5</v>
      </c>
      <c r="G684" s="802">
        <v>19</v>
      </c>
      <c r="H684" s="798">
        <f t="shared" si="87"/>
        <v>0.84</v>
      </c>
      <c r="I684" s="709">
        <v>2400</v>
      </c>
      <c r="J684" s="709">
        <f t="shared" si="88"/>
        <v>2016</v>
      </c>
      <c r="K684" s="709">
        <f t="shared" si="89"/>
        <v>7086.635132945943</v>
      </c>
      <c r="L684" s="719">
        <v>7500</v>
      </c>
      <c r="S684" s="704">
        <f t="shared" si="90"/>
        <v>18000000</v>
      </c>
      <c r="T684" s="903">
        <f t="shared" si="91"/>
        <v>17007924.319070265</v>
      </c>
    </row>
    <row r="685" spans="1:20" ht="17.25" customHeight="1">
      <c r="A685" s="708">
        <f t="shared" si="80"/>
        <v>118</v>
      </c>
      <c r="B685" s="291" t="s">
        <v>1505</v>
      </c>
      <c r="C685" s="724">
        <v>42711</v>
      </c>
      <c r="D685" s="725" t="s">
        <v>1519</v>
      </c>
      <c r="E685" s="803">
        <v>50</v>
      </c>
      <c r="F685" s="802">
        <v>29.5</v>
      </c>
      <c r="G685" s="802">
        <v>19</v>
      </c>
      <c r="H685" s="798">
        <f t="shared" si="87"/>
        <v>0.84</v>
      </c>
      <c r="I685" s="709">
        <v>2400</v>
      </c>
      <c r="J685" s="709">
        <f t="shared" si="88"/>
        <v>2016</v>
      </c>
      <c r="K685" s="709">
        <f t="shared" si="89"/>
        <v>7086.635132945943</v>
      </c>
      <c r="L685" s="719">
        <v>7500</v>
      </c>
      <c r="S685" s="704">
        <f t="shared" si="90"/>
        <v>18000000</v>
      </c>
      <c r="T685" s="903">
        <f t="shared" si="91"/>
        <v>17007924.319070265</v>
      </c>
    </row>
    <row r="686" spans="1:20" ht="17.25" customHeight="1">
      <c r="A686" s="708">
        <f t="shared" si="80"/>
        <v>119</v>
      </c>
      <c r="B686" s="291" t="s">
        <v>1334</v>
      </c>
      <c r="C686" s="724">
        <v>42713</v>
      </c>
      <c r="D686" s="725" t="s">
        <v>1520</v>
      </c>
      <c r="E686" s="803">
        <v>52.5</v>
      </c>
      <c r="F686" s="802">
        <v>30.5</v>
      </c>
      <c r="G686" s="802">
        <v>8.5</v>
      </c>
      <c r="H686" s="798">
        <f t="shared" si="87"/>
        <v>0.72</v>
      </c>
      <c r="I686" s="709">
        <v>1510</v>
      </c>
      <c r="J686" s="709">
        <f t="shared" si="88"/>
        <v>1087.2</v>
      </c>
      <c r="K686" s="709">
        <f t="shared" si="89"/>
        <v>6074.2586853822377</v>
      </c>
      <c r="L686" s="719">
        <v>7700</v>
      </c>
      <c r="S686" s="704">
        <f t="shared" si="90"/>
        <v>11627000</v>
      </c>
      <c r="T686" s="903">
        <f t="shared" si="91"/>
        <v>9172130.6149271782</v>
      </c>
    </row>
    <row r="687" spans="1:20" ht="17.25" customHeight="1">
      <c r="A687" s="708">
        <f t="shared" si="80"/>
        <v>120</v>
      </c>
      <c r="B687" s="291" t="s">
        <v>1346</v>
      </c>
      <c r="C687" s="724">
        <v>42713</v>
      </c>
      <c r="D687" s="725" t="s">
        <v>1520</v>
      </c>
      <c r="E687" s="803">
        <v>23.5</v>
      </c>
      <c r="F687" s="802">
        <v>23.5</v>
      </c>
      <c r="G687" s="802">
        <v>30.5</v>
      </c>
      <c r="H687" s="798">
        <f t="shared" si="87"/>
        <v>0.56000000000000005</v>
      </c>
      <c r="I687" s="709">
        <v>1500</v>
      </c>
      <c r="J687" s="709">
        <f t="shared" si="88"/>
        <v>840.00000000000011</v>
      </c>
      <c r="K687" s="709">
        <f t="shared" si="89"/>
        <v>4724.4234219639629</v>
      </c>
      <c r="L687" s="719">
        <v>6700</v>
      </c>
      <c r="S687" s="704">
        <f t="shared" si="90"/>
        <v>10050000</v>
      </c>
      <c r="T687" s="903">
        <f t="shared" si="91"/>
        <v>7086635.1329459446</v>
      </c>
    </row>
    <row r="688" spans="1:20" ht="17.25" customHeight="1">
      <c r="A688" s="708">
        <f t="shared" si="80"/>
        <v>121</v>
      </c>
      <c r="B688" s="291" t="s">
        <v>1386</v>
      </c>
      <c r="C688" s="724">
        <v>42713</v>
      </c>
      <c r="D688" s="725" t="s">
        <v>1521</v>
      </c>
      <c r="E688" s="803">
        <v>40</v>
      </c>
      <c r="F688" s="802">
        <v>30</v>
      </c>
      <c r="G688" s="803">
        <v>18.5</v>
      </c>
      <c r="H688" s="798">
        <f t="shared" si="87"/>
        <v>0.75</v>
      </c>
      <c r="I688" s="709">
        <v>535</v>
      </c>
      <c r="J688" s="709">
        <f t="shared" si="88"/>
        <v>401.25</v>
      </c>
      <c r="K688" s="709">
        <f t="shared" si="89"/>
        <v>6327.3527972731645</v>
      </c>
      <c r="L688" s="719">
        <v>8800</v>
      </c>
      <c r="S688" s="704">
        <f t="shared" si="90"/>
        <v>4708000</v>
      </c>
      <c r="T688" s="903">
        <f t="shared" si="91"/>
        <v>3385133.7465411429</v>
      </c>
    </row>
    <row r="689" spans="1:20" ht="17.25" customHeight="1">
      <c r="A689" s="708">
        <f t="shared" si="80"/>
        <v>122</v>
      </c>
      <c r="B689" s="291" t="s">
        <v>985</v>
      </c>
      <c r="C689" s="724">
        <v>42713</v>
      </c>
      <c r="D689" s="725" t="s">
        <v>1521</v>
      </c>
      <c r="E689" s="803">
        <v>39</v>
      </c>
      <c r="F689" s="802">
        <v>30</v>
      </c>
      <c r="G689" s="802">
        <v>16</v>
      </c>
      <c r="H689" s="798">
        <f t="shared" si="87"/>
        <v>0.7</v>
      </c>
      <c r="I689" s="709">
        <v>46</v>
      </c>
      <c r="J689" s="709">
        <f t="shared" si="88"/>
        <v>32.199999999999996</v>
      </c>
      <c r="K689" s="709">
        <f t="shared" si="89"/>
        <v>5905.5292774549525</v>
      </c>
      <c r="L689" s="719">
        <v>8500</v>
      </c>
      <c r="S689" s="704">
        <f t="shared" si="90"/>
        <v>391000</v>
      </c>
      <c r="T689" s="903">
        <f t="shared" si="91"/>
        <v>271654.34676292783</v>
      </c>
    </row>
    <row r="690" spans="1:20" ht="17.25" customHeight="1">
      <c r="A690" s="708">
        <f t="shared" si="80"/>
        <v>123</v>
      </c>
      <c r="B690" s="291" t="s">
        <v>1465</v>
      </c>
      <c r="C690" s="724">
        <v>42716</v>
      </c>
      <c r="D690" s="725" t="s">
        <v>1522</v>
      </c>
      <c r="E690" s="803">
        <v>41</v>
      </c>
      <c r="F690" s="802">
        <v>39</v>
      </c>
      <c r="G690" s="802">
        <v>20</v>
      </c>
      <c r="H690" s="798">
        <f t="shared" si="87"/>
        <v>1.02</v>
      </c>
      <c r="I690" s="709">
        <v>600</v>
      </c>
      <c r="J690" s="709">
        <f t="shared" si="88"/>
        <v>612</v>
      </c>
      <c r="K690" s="709">
        <f t="shared" si="89"/>
        <v>8605.1998042915038</v>
      </c>
      <c r="L690" s="719">
        <v>10900</v>
      </c>
      <c r="S690" s="704">
        <f t="shared" si="90"/>
        <v>6540000</v>
      </c>
      <c r="T690" s="903">
        <f t="shared" si="91"/>
        <v>5163119.8825749019</v>
      </c>
    </row>
    <row r="691" spans="1:20" ht="17.25" customHeight="1">
      <c r="A691" s="708">
        <f t="shared" si="80"/>
        <v>124</v>
      </c>
      <c r="B691" s="291" t="s">
        <v>1505</v>
      </c>
      <c r="C691" s="724">
        <v>42716</v>
      </c>
      <c r="D691" s="725" t="s">
        <v>1523</v>
      </c>
      <c r="E691" s="803">
        <v>50</v>
      </c>
      <c r="F691" s="802">
        <v>29.5</v>
      </c>
      <c r="G691" s="802">
        <v>19</v>
      </c>
      <c r="H691" s="798">
        <f t="shared" si="87"/>
        <v>0.84</v>
      </c>
      <c r="I691" s="709">
        <v>800</v>
      </c>
      <c r="J691" s="709">
        <f t="shared" si="88"/>
        <v>672</v>
      </c>
      <c r="K691" s="709">
        <f t="shared" si="89"/>
        <v>7086.635132945943</v>
      </c>
      <c r="L691" s="719">
        <v>7500</v>
      </c>
      <c r="S691" s="704">
        <f t="shared" si="90"/>
        <v>6000000</v>
      </c>
      <c r="T691" s="903">
        <f t="shared" si="91"/>
        <v>5669308.1063567549</v>
      </c>
    </row>
    <row r="692" spans="1:20" ht="17.25" customHeight="1">
      <c r="A692" s="708">
        <f t="shared" si="80"/>
        <v>125</v>
      </c>
      <c r="B692" s="291" t="s">
        <v>1505</v>
      </c>
      <c r="C692" s="724">
        <v>42716</v>
      </c>
      <c r="D692" s="725" t="s">
        <v>1524</v>
      </c>
      <c r="E692" s="803">
        <v>50</v>
      </c>
      <c r="F692" s="802">
        <v>29.5</v>
      </c>
      <c r="G692" s="802">
        <v>19</v>
      </c>
      <c r="H692" s="798">
        <f t="shared" si="87"/>
        <v>0.84</v>
      </c>
      <c r="I692" s="709">
        <v>2400</v>
      </c>
      <c r="J692" s="709">
        <f t="shared" si="88"/>
        <v>2016</v>
      </c>
      <c r="K692" s="709">
        <f t="shared" si="89"/>
        <v>7086.635132945943</v>
      </c>
      <c r="L692" s="719">
        <v>7500</v>
      </c>
      <c r="S692" s="704">
        <f t="shared" si="90"/>
        <v>18000000</v>
      </c>
      <c r="T692" s="903">
        <f t="shared" si="91"/>
        <v>17007924.319070265</v>
      </c>
    </row>
    <row r="693" spans="1:20" ht="17.25" customHeight="1">
      <c r="A693" s="708">
        <f t="shared" si="80"/>
        <v>126</v>
      </c>
      <c r="B693" s="291" t="s">
        <v>1505</v>
      </c>
      <c r="C693" s="724">
        <v>42717</v>
      </c>
      <c r="D693" s="725" t="s">
        <v>1525</v>
      </c>
      <c r="E693" s="803">
        <v>50</v>
      </c>
      <c r="F693" s="802">
        <v>29.5</v>
      </c>
      <c r="G693" s="802">
        <v>19</v>
      </c>
      <c r="H693" s="798">
        <f t="shared" si="87"/>
        <v>0.84</v>
      </c>
      <c r="I693" s="709">
        <v>2400</v>
      </c>
      <c r="J693" s="709">
        <f t="shared" si="88"/>
        <v>2016</v>
      </c>
      <c r="K693" s="709">
        <f t="shared" si="89"/>
        <v>7086.635132945943</v>
      </c>
      <c r="L693" s="719">
        <v>7500</v>
      </c>
      <c r="S693" s="704">
        <f t="shared" si="90"/>
        <v>18000000</v>
      </c>
      <c r="T693" s="903">
        <f t="shared" si="91"/>
        <v>17007924.319070265</v>
      </c>
    </row>
    <row r="694" spans="1:20" ht="17.25" customHeight="1">
      <c r="A694" s="708">
        <f t="shared" si="80"/>
        <v>127</v>
      </c>
      <c r="B694" s="291" t="s">
        <v>1505</v>
      </c>
      <c r="C694" s="724">
        <v>42718</v>
      </c>
      <c r="D694" s="725" t="s">
        <v>1526</v>
      </c>
      <c r="E694" s="803">
        <v>50</v>
      </c>
      <c r="F694" s="802">
        <v>29.5</v>
      </c>
      <c r="G694" s="802">
        <v>19</v>
      </c>
      <c r="H694" s="798">
        <f t="shared" si="87"/>
        <v>0.84</v>
      </c>
      <c r="I694" s="709">
        <v>2400</v>
      </c>
      <c r="J694" s="709">
        <f t="shared" si="88"/>
        <v>2016</v>
      </c>
      <c r="K694" s="709">
        <f t="shared" si="89"/>
        <v>7086.635132945943</v>
      </c>
      <c r="L694" s="719">
        <v>7500</v>
      </c>
      <c r="S694" s="704">
        <f t="shared" si="90"/>
        <v>18000000</v>
      </c>
      <c r="T694" s="903">
        <f t="shared" si="91"/>
        <v>17007924.319070265</v>
      </c>
    </row>
    <row r="695" spans="1:20" ht="17.25" customHeight="1">
      <c r="A695" s="708">
        <f t="shared" si="80"/>
        <v>128</v>
      </c>
      <c r="B695" s="291" t="s">
        <v>1505</v>
      </c>
      <c r="C695" s="724">
        <v>42719</v>
      </c>
      <c r="D695" s="725" t="s">
        <v>1527</v>
      </c>
      <c r="E695" s="803">
        <v>50</v>
      </c>
      <c r="F695" s="802">
        <v>29.5</v>
      </c>
      <c r="G695" s="802">
        <v>19</v>
      </c>
      <c r="H695" s="798">
        <f t="shared" si="87"/>
        <v>0.84</v>
      </c>
      <c r="I695" s="709">
        <v>2400</v>
      </c>
      <c r="J695" s="709">
        <f t="shared" si="88"/>
        <v>2016</v>
      </c>
      <c r="K695" s="709">
        <f t="shared" si="89"/>
        <v>7086.635132945943</v>
      </c>
      <c r="L695" s="719">
        <v>7500</v>
      </c>
      <c r="S695" s="704">
        <f t="shared" si="90"/>
        <v>18000000</v>
      </c>
      <c r="T695" s="903">
        <f t="shared" si="91"/>
        <v>17007924.319070265</v>
      </c>
    </row>
    <row r="696" spans="1:20" ht="17.25" customHeight="1">
      <c r="A696" s="708">
        <f t="shared" si="80"/>
        <v>129</v>
      </c>
      <c r="B696" s="291" t="s">
        <v>1505</v>
      </c>
      <c r="C696" s="724">
        <v>42720</v>
      </c>
      <c r="D696" s="725" t="s">
        <v>1528</v>
      </c>
      <c r="E696" s="803">
        <v>50</v>
      </c>
      <c r="F696" s="802">
        <v>29.5</v>
      </c>
      <c r="G696" s="802">
        <v>19</v>
      </c>
      <c r="H696" s="798">
        <f t="shared" si="87"/>
        <v>0.84</v>
      </c>
      <c r="I696" s="709">
        <v>2400</v>
      </c>
      <c r="J696" s="709">
        <f t="shared" si="88"/>
        <v>2016</v>
      </c>
      <c r="K696" s="709">
        <f t="shared" si="89"/>
        <v>7086.635132945943</v>
      </c>
      <c r="L696" s="719">
        <v>7500</v>
      </c>
      <c r="S696" s="704">
        <f t="shared" si="90"/>
        <v>18000000</v>
      </c>
      <c r="T696" s="903">
        <f t="shared" si="91"/>
        <v>17007924.319070265</v>
      </c>
    </row>
    <row r="697" spans="1:20" ht="17.25" customHeight="1">
      <c r="A697" s="708">
        <f t="shared" si="80"/>
        <v>130</v>
      </c>
      <c r="B697" s="291" t="s">
        <v>1505</v>
      </c>
      <c r="C697" s="724">
        <v>42721</v>
      </c>
      <c r="D697" s="725" t="s">
        <v>1529</v>
      </c>
      <c r="E697" s="803">
        <v>50</v>
      </c>
      <c r="F697" s="802">
        <v>29.5</v>
      </c>
      <c r="G697" s="802">
        <v>19</v>
      </c>
      <c r="H697" s="798">
        <f t="shared" si="87"/>
        <v>0.84</v>
      </c>
      <c r="I697" s="709">
        <v>180</v>
      </c>
      <c r="J697" s="709">
        <f t="shared" si="88"/>
        <v>151.19999999999999</v>
      </c>
      <c r="K697" s="709">
        <f t="shared" si="89"/>
        <v>7086.635132945943</v>
      </c>
      <c r="L697" s="719">
        <v>7500</v>
      </c>
      <c r="S697" s="704">
        <f t="shared" ref="S697:S715" si="92">I697*L697</f>
        <v>1350000</v>
      </c>
      <c r="T697" s="903">
        <f t="shared" ref="T697:T715" si="93">I697*K697</f>
        <v>1275594.3239302698</v>
      </c>
    </row>
    <row r="698" spans="1:20" ht="17.25" customHeight="1">
      <c r="A698" s="708">
        <f t="shared" si="80"/>
        <v>131</v>
      </c>
      <c r="B698" s="291" t="s">
        <v>1531</v>
      </c>
      <c r="C698" s="724">
        <v>42724</v>
      </c>
      <c r="D698" s="725" t="s">
        <v>1530</v>
      </c>
      <c r="E698" s="803">
        <v>49</v>
      </c>
      <c r="F698" s="802">
        <v>38</v>
      </c>
      <c r="G698" s="802">
        <v>13</v>
      </c>
      <c r="H698" s="798">
        <f t="shared" si="87"/>
        <v>0.97</v>
      </c>
      <c r="I698" s="709">
        <v>397</v>
      </c>
      <c r="J698" s="709">
        <f t="shared" si="88"/>
        <v>385.09</v>
      </c>
      <c r="K698" s="709">
        <f t="shared" si="89"/>
        <v>8183.3762844732919</v>
      </c>
      <c r="L698" s="719">
        <v>10500</v>
      </c>
      <c r="S698" s="704">
        <f t="shared" si="92"/>
        <v>4168500</v>
      </c>
      <c r="T698" s="903">
        <f t="shared" si="93"/>
        <v>3248800.3849358968</v>
      </c>
    </row>
    <row r="699" spans="1:20" ht="17.25" customHeight="1">
      <c r="A699" s="708">
        <f t="shared" si="80"/>
        <v>132</v>
      </c>
      <c r="B699" s="291" t="s">
        <v>430</v>
      </c>
      <c r="C699" s="724">
        <v>42724</v>
      </c>
      <c r="D699" s="725" t="s">
        <v>1530</v>
      </c>
      <c r="E699" s="803">
        <v>49</v>
      </c>
      <c r="F699" s="802">
        <v>38</v>
      </c>
      <c r="G699" s="802">
        <v>12</v>
      </c>
      <c r="H699" s="798">
        <f t="shared" si="87"/>
        <v>0.95</v>
      </c>
      <c r="I699" s="709">
        <v>200</v>
      </c>
      <c r="J699" s="709">
        <f t="shared" si="88"/>
        <v>190</v>
      </c>
      <c r="K699" s="709">
        <f t="shared" si="89"/>
        <v>8014.6468765460077</v>
      </c>
      <c r="L699" s="719">
        <v>10500</v>
      </c>
      <c r="S699" s="704">
        <f t="shared" si="92"/>
        <v>2100000</v>
      </c>
      <c r="T699" s="903">
        <f t="shared" si="93"/>
        <v>1602929.3753092014</v>
      </c>
    </row>
    <row r="700" spans="1:20" ht="17.25" customHeight="1">
      <c r="A700" s="708">
        <f t="shared" si="80"/>
        <v>133</v>
      </c>
      <c r="B700" s="291" t="s">
        <v>430</v>
      </c>
      <c r="C700" s="724">
        <v>42724</v>
      </c>
      <c r="D700" s="725" t="s">
        <v>1530</v>
      </c>
      <c r="E700" s="803">
        <v>49</v>
      </c>
      <c r="F700" s="802">
        <v>38</v>
      </c>
      <c r="G700" s="802">
        <v>12</v>
      </c>
      <c r="H700" s="798">
        <f t="shared" si="87"/>
        <v>0.95</v>
      </c>
      <c r="I700" s="709">
        <v>389</v>
      </c>
      <c r="J700" s="709">
        <f t="shared" si="88"/>
        <v>369.54999999999995</v>
      </c>
      <c r="K700" s="709">
        <f t="shared" si="89"/>
        <v>8014.6468765460077</v>
      </c>
      <c r="L700" s="719">
        <v>10500</v>
      </c>
      <c r="S700" s="704">
        <f t="shared" si="92"/>
        <v>4084500</v>
      </c>
      <c r="T700" s="903">
        <f t="shared" si="93"/>
        <v>3117697.6349763968</v>
      </c>
    </row>
    <row r="701" spans="1:20" ht="17.25" customHeight="1">
      <c r="A701" s="708">
        <f t="shared" si="80"/>
        <v>134</v>
      </c>
      <c r="B701" s="291" t="s">
        <v>985</v>
      </c>
      <c r="C701" s="724">
        <v>42724</v>
      </c>
      <c r="D701" s="725" t="s">
        <v>1530</v>
      </c>
      <c r="E701" s="803">
        <v>39</v>
      </c>
      <c r="F701" s="802">
        <v>30</v>
      </c>
      <c r="G701" s="802">
        <v>16</v>
      </c>
      <c r="H701" s="798">
        <f t="shared" si="81"/>
        <v>0.7</v>
      </c>
      <c r="I701" s="709">
        <v>566</v>
      </c>
      <c r="J701" s="709">
        <f t="shared" si="82"/>
        <v>396.2</v>
      </c>
      <c r="K701" s="709">
        <f t="shared" ref="K701:K715" si="94">H701*$R$599</f>
        <v>5905.5292774549525</v>
      </c>
      <c r="L701" s="719">
        <v>8500</v>
      </c>
      <c r="S701" s="704">
        <f t="shared" si="92"/>
        <v>4811000</v>
      </c>
      <c r="T701" s="903">
        <f t="shared" si="93"/>
        <v>3342529.571039503</v>
      </c>
    </row>
    <row r="702" spans="1:20" ht="17.25" customHeight="1">
      <c r="A702" s="708">
        <f t="shared" si="80"/>
        <v>135</v>
      </c>
      <c r="B702" s="291" t="s">
        <v>1505</v>
      </c>
      <c r="C702" s="724">
        <v>42724</v>
      </c>
      <c r="D702" s="725" t="s">
        <v>1532</v>
      </c>
      <c r="E702" s="803">
        <v>50</v>
      </c>
      <c r="F702" s="802">
        <v>29.5</v>
      </c>
      <c r="G702" s="802">
        <v>19</v>
      </c>
      <c r="H702" s="798">
        <f t="shared" si="81"/>
        <v>0.84</v>
      </c>
      <c r="I702" s="709">
        <v>2400</v>
      </c>
      <c r="J702" s="709">
        <f t="shared" si="82"/>
        <v>2016</v>
      </c>
      <c r="K702" s="709">
        <f t="shared" si="94"/>
        <v>7086.635132945943</v>
      </c>
      <c r="L702" s="719">
        <v>7500</v>
      </c>
      <c r="S702" s="704">
        <f t="shared" si="92"/>
        <v>18000000</v>
      </c>
      <c r="T702" s="903">
        <f t="shared" si="93"/>
        <v>17007924.319070265</v>
      </c>
    </row>
    <row r="703" spans="1:20" ht="17.25" customHeight="1">
      <c r="A703" s="708">
        <f t="shared" si="80"/>
        <v>136</v>
      </c>
      <c r="B703" s="291" t="s">
        <v>1505</v>
      </c>
      <c r="C703" s="724">
        <v>42725</v>
      </c>
      <c r="D703" s="725" t="s">
        <v>1533</v>
      </c>
      <c r="E703" s="803">
        <v>50</v>
      </c>
      <c r="F703" s="802">
        <v>29.5</v>
      </c>
      <c r="G703" s="802">
        <v>19</v>
      </c>
      <c r="H703" s="798">
        <f t="shared" si="81"/>
        <v>0.84</v>
      </c>
      <c r="I703" s="709">
        <v>2400</v>
      </c>
      <c r="J703" s="709">
        <f t="shared" si="82"/>
        <v>2016</v>
      </c>
      <c r="K703" s="709">
        <f t="shared" si="94"/>
        <v>7086.635132945943</v>
      </c>
      <c r="L703" s="719">
        <v>7500</v>
      </c>
      <c r="S703" s="704">
        <f t="shared" si="92"/>
        <v>18000000</v>
      </c>
      <c r="T703" s="903">
        <f t="shared" si="93"/>
        <v>17007924.319070265</v>
      </c>
    </row>
    <row r="704" spans="1:20" ht="17.25" customHeight="1">
      <c r="A704" s="708">
        <f t="shared" si="80"/>
        <v>137</v>
      </c>
      <c r="B704" s="291" t="s">
        <v>1536</v>
      </c>
      <c r="C704" s="724">
        <v>42725</v>
      </c>
      <c r="D704" s="725" t="s">
        <v>1534</v>
      </c>
      <c r="E704" s="803">
        <v>90.5</v>
      </c>
      <c r="F704" s="802">
        <v>55.5</v>
      </c>
      <c r="G704" s="802">
        <v>10.6</v>
      </c>
      <c r="H704" s="798">
        <f t="shared" si="81"/>
        <v>2.0499999999999998</v>
      </c>
      <c r="I704" s="709">
        <v>66</v>
      </c>
      <c r="J704" s="709">
        <f t="shared" si="82"/>
        <v>135.29999999999998</v>
      </c>
      <c r="K704" s="709">
        <f t="shared" si="94"/>
        <v>17294.764312546646</v>
      </c>
      <c r="L704" s="719">
        <v>25300</v>
      </c>
      <c r="S704" s="704">
        <f t="shared" si="92"/>
        <v>1669800</v>
      </c>
      <c r="T704" s="903">
        <f t="shared" si="93"/>
        <v>1141454.4446280787</v>
      </c>
    </row>
    <row r="705" spans="1:20" ht="17.25" customHeight="1">
      <c r="A705" s="708">
        <f t="shared" si="80"/>
        <v>138</v>
      </c>
      <c r="B705" s="291" t="s">
        <v>1535</v>
      </c>
      <c r="C705" s="724">
        <v>42725</v>
      </c>
      <c r="D705" s="725" t="s">
        <v>1534</v>
      </c>
      <c r="E705" s="803">
        <v>54</v>
      </c>
      <c r="F705" s="802">
        <v>33</v>
      </c>
      <c r="G705" s="802">
        <v>25</v>
      </c>
      <c r="H705" s="798">
        <f t="shared" si="81"/>
        <v>1.0900000000000001</v>
      </c>
      <c r="I705" s="709">
        <v>64</v>
      </c>
      <c r="J705" s="709">
        <f t="shared" si="82"/>
        <v>69.760000000000005</v>
      </c>
      <c r="K705" s="709">
        <f t="shared" si="94"/>
        <v>9195.7527320369991</v>
      </c>
      <c r="L705" s="719">
        <v>18900</v>
      </c>
      <c r="S705" s="704">
        <f t="shared" si="92"/>
        <v>1209600</v>
      </c>
      <c r="T705" s="903">
        <f t="shared" si="93"/>
        <v>588528.17485036794</v>
      </c>
    </row>
    <row r="706" spans="1:20" ht="17.25" customHeight="1">
      <c r="A706" s="708">
        <f t="shared" si="80"/>
        <v>139</v>
      </c>
      <c r="B706" s="291" t="s">
        <v>1505</v>
      </c>
      <c r="C706" s="724">
        <v>42726</v>
      </c>
      <c r="D706" s="725" t="s">
        <v>1537</v>
      </c>
      <c r="E706" s="803">
        <v>50</v>
      </c>
      <c r="F706" s="802">
        <v>29.5</v>
      </c>
      <c r="G706" s="802">
        <v>19</v>
      </c>
      <c r="H706" s="798">
        <f t="shared" si="81"/>
        <v>0.84</v>
      </c>
      <c r="I706" s="709">
        <v>1939</v>
      </c>
      <c r="J706" s="709">
        <f t="shared" si="82"/>
        <v>1628.76</v>
      </c>
      <c r="K706" s="709">
        <f t="shared" si="94"/>
        <v>7086.635132945943</v>
      </c>
      <c r="L706" s="719">
        <v>7500</v>
      </c>
      <c r="S706" s="704">
        <f t="shared" si="92"/>
        <v>14542500</v>
      </c>
      <c r="T706" s="903">
        <f t="shared" si="93"/>
        <v>13740985.522782184</v>
      </c>
    </row>
    <row r="707" spans="1:20" ht="17.25" customHeight="1">
      <c r="A707" s="708">
        <f t="shared" si="80"/>
        <v>140</v>
      </c>
      <c r="B707" s="291" t="s">
        <v>1440</v>
      </c>
      <c r="C707" s="724">
        <v>42726</v>
      </c>
      <c r="D707" s="725" t="s">
        <v>1538</v>
      </c>
      <c r="E707" s="803">
        <v>55.9</v>
      </c>
      <c r="F707" s="802">
        <v>28.1</v>
      </c>
      <c r="G707" s="802">
        <v>28.7</v>
      </c>
      <c r="H707" s="798">
        <f t="shared" si="81"/>
        <v>1.03</v>
      </c>
      <c r="I707" s="709">
        <v>208</v>
      </c>
      <c r="J707" s="709">
        <f t="shared" si="82"/>
        <v>214.24</v>
      </c>
      <c r="K707" s="709">
        <f t="shared" si="94"/>
        <v>8689.5645082551455</v>
      </c>
      <c r="L707" s="719">
        <v>7300</v>
      </c>
      <c r="S707" s="704">
        <f t="shared" si="92"/>
        <v>1518400</v>
      </c>
      <c r="T707" s="903">
        <f t="shared" si="93"/>
        <v>1807429.4177170703</v>
      </c>
    </row>
    <row r="708" spans="1:20" ht="17.25" customHeight="1">
      <c r="A708" s="708">
        <f t="shared" si="80"/>
        <v>141</v>
      </c>
      <c r="B708" s="291" t="s">
        <v>1437</v>
      </c>
      <c r="C708" s="724">
        <v>42726</v>
      </c>
      <c r="D708" s="725" t="s">
        <v>1538</v>
      </c>
      <c r="E708" s="803">
        <v>29</v>
      </c>
      <c r="F708" s="802">
        <v>29</v>
      </c>
      <c r="G708" s="802">
        <v>44.5</v>
      </c>
      <c r="H708" s="798">
        <f t="shared" si="81"/>
        <v>0.93</v>
      </c>
      <c r="I708" s="709">
        <v>205</v>
      </c>
      <c r="J708" s="709">
        <f t="shared" si="82"/>
        <v>190.65</v>
      </c>
      <c r="K708" s="709">
        <f t="shared" si="94"/>
        <v>7845.9174686187234</v>
      </c>
      <c r="L708" s="719">
        <v>7200</v>
      </c>
      <c r="S708" s="704">
        <f t="shared" si="92"/>
        <v>1476000</v>
      </c>
      <c r="T708" s="903">
        <f t="shared" si="93"/>
        <v>1608413.0810668382</v>
      </c>
    </row>
    <row r="709" spans="1:20" ht="17.25" customHeight="1">
      <c r="A709" s="708">
        <f t="shared" si="80"/>
        <v>142</v>
      </c>
      <c r="B709" s="291" t="s">
        <v>1539</v>
      </c>
      <c r="C709" s="724">
        <v>42726</v>
      </c>
      <c r="D709" s="725" t="s">
        <v>1538</v>
      </c>
      <c r="E709" s="803">
        <v>58</v>
      </c>
      <c r="F709" s="802">
        <v>42.5</v>
      </c>
      <c r="G709" s="802">
        <v>20</v>
      </c>
      <c r="H709" s="798">
        <f t="shared" si="81"/>
        <v>1.35</v>
      </c>
      <c r="I709" s="709">
        <v>25</v>
      </c>
      <c r="J709" s="709">
        <f t="shared" si="82"/>
        <v>33.75</v>
      </c>
      <c r="K709" s="709">
        <f t="shared" si="94"/>
        <v>11389.235035091697</v>
      </c>
      <c r="L709" s="719">
        <v>17300</v>
      </c>
      <c r="S709" s="704">
        <f t="shared" si="92"/>
        <v>432500</v>
      </c>
      <c r="T709" s="903">
        <f t="shared" si="93"/>
        <v>284730.87587729242</v>
      </c>
    </row>
    <row r="710" spans="1:20" ht="17.25" customHeight="1">
      <c r="A710" s="708">
        <f t="shared" si="80"/>
        <v>143</v>
      </c>
      <c r="B710" s="291" t="s">
        <v>1505</v>
      </c>
      <c r="C710" s="724">
        <v>42728</v>
      </c>
      <c r="D710" s="725" t="s">
        <v>1540</v>
      </c>
      <c r="E710" s="803">
        <v>50</v>
      </c>
      <c r="F710" s="802">
        <v>29.5</v>
      </c>
      <c r="G710" s="802">
        <v>19</v>
      </c>
      <c r="H710" s="798">
        <f>IF(G710&lt;&gt;"",ROUND(((E710+F710)*2+5)*(F710+G710+3)/10000,2),ROUND(E710*F710/10000,2))</f>
        <v>0.84</v>
      </c>
      <c r="I710" s="709">
        <v>2400</v>
      </c>
      <c r="J710" s="709">
        <f t="shared" si="82"/>
        <v>2016</v>
      </c>
      <c r="K710" s="709">
        <f t="shared" si="94"/>
        <v>7086.635132945943</v>
      </c>
      <c r="L710" s="719">
        <v>7500</v>
      </c>
      <c r="S710" s="704">
        <f t="shared" si="92"/>
        <v>18000000</v>
      </c>
      <c r="T710" s="903">
        <f t="shared" si="93"/>
        <v>17007924.319070265</v>
      </c>
    </row>
    <row r="711" spans="1:20" ht="17.25" customHeight="1">
      <c r="A711" s="708">
        <f t="shared" si="80"/>
        <v>144</v>
      </c>
      <c r="B711" s="291" t="s">
        <v>1505</v>
      </c>
      <c r="C711" s="724">
        <v>42731</v>
      </c>
      <c r="D711" s="725" t="s">
        <v>1541</v>
      </c>
      <c r="E711" s="803">
        <v>50</v>
      </c>
      <c r="F711" s="802">
        <v>29.5</v>
      </c>
      <c r="G711" s="802">
        <v>19</v>
      </c>
      <c r="H711" s="798">
        <f>IF(G711&lt;&gt;"",ROUND(((E711+F711)*2+5)*(F711+G711+3)/10000,2),ROUND(E711*F711/10000,2))</f>
        <v>0.84</v>
      </c>
      <c r="I711" s="709">
        <v>2030</v>
      </c>
      <c r="J711" s="709">
        <f t="shared" si="82"/>
        <v>1705.2</v>
      </c>
      <c r="K711" s="709">
        <f t="shared" si="94"/>
        <v>7086.635132945943</v>
      </c>
      <c r="L711" s="719">
        <v>7500</v>
      </c>
      <c r="S711" s="704">
        <f t="shared" si="92"/>
        <v>15225000</v>
      </c>
      <c r="T711" s="903">
        <f t="shared" si="93"/>
        <v>14385869.319880264</v>
      </c>
    </row>
    <row r="712" spans="1:20" ht="17.25" customHeight="1">
      <c r="A712" s="708">
        <f t="shared" si="80"/>
        <v>145</v>
      </c>
      <c r="B712" s="291" t="s">
        <v>1419</v>
      </c>
      <c r="C712" s="724">
        <v>42732</v>
      </c>
      <c r="D712" s="725" t="s">
        <v>1542</v>
      </c>
      <c r="E712" s="803">
        <v>49</v>
      </c>
      <c r="F712" s="802">
        <v>38</v>
      </c>
      <c r="G712" s="802">
        <v>12.5</v>
      </c>
      <c r="H712" s="798">
        <f t="shared" si="81"/>
        <v>0.96</v>
      </c>
      <c r="I712" s="709">
        <v>509</v>
      </c>
      <c r="J712" s="709">
        <f t="shared" si="82"/>
        <v>488.64</v>
      </c>
      <c r="K712" s="709">
        <f t="shared" si="94"/>
        <v>8099.0115805096493</v>
      </c>
      <c r="L712" s="719">
        <v>10200</v>
      </c>
      <c r="S712" s="704">
        <f t="shared" si="92"/>
        <v>5191800</v>
      </c>
      <c r="T712" s="903">
        <f t="shared" si="93"/>
        <v>4122396.8944794117</v>
      </c>
    </row>
    <row r="713" spans="1:20" ht="17.25" customHeight="1">
      <c r="A713" s="708">
        <f t="shared" si="80"/>
        <v>146</v>
      </c>
      <c r="B713" s="291" t="s">
        <v>1286</v>
      </c>
      <c r="C713" s="724">
        <v>42732</v>
      </c>
      <c r="D713" s="725" t="s">
        <v>1543</v>
      </c>
      <c r="E713" s="803">
        <v>52</v>
      </c>
      <c r="F713" s="802">
        <v>24.5</v>
      </c>
      <c r="G713" s="802">
        <v>24.5</v>
      </c>
      <c r="H713" s="798">
        <f t="shared" si="81"/>
        <v>0.82</v>
      </c>
      <c r="I713" s="709">
        <v>1049</v>
      </c>
      <c r="J713" s="709">
        <f t="shared" si="82"/>
        <v>860.18</v>
      </c>
      <c r="K713" s="709">
        <f t="shared" si="94"/>
        <v>6917.9057250186588</v>
      </c>
      <c r="L713" s="719">
        <v>5000</v>
      </c>
      <c r="S713" s="704">
        <f t="shared" si="92"/>
        <v>5245000</v>
      </c>
      <c r="T713" s="903">
        <f t="shared" si="93"/>
        <v>7256883.1055445727</v>
      </c>
    </row>
    <row r="714" spans="1:20" ht="17.25" customHeight="1">
      <c r="A714" s="708">
        <f t="shared" si="80"/>
        <v>147</v>
      </c>
      <c r="B714" s="291" t="s">
        <v>1287</v>
      </c>
      <c r="C714" s="724">
        <v>42732</v>
      </c>
      <c r="D714" s="725" t="s">
        <v>1543</v>
      </c>
      <c r="E714" s="803">
        <v>52</v>
      </c>
      <c r="F714" s="802">
        <v>26.5</v>
      </c>
      <c r="G714" s="802">
        <v>26.5</v>
      </c>
      <c r="H714" s="798">
        <f t="shared" si="81"/>
        <v>0.91</v>
      </c>
      <c r="I714" s="709">
        <v>504</v>
      </c>
      <c r="J714" s="709">
        <f t="shared" si="82"/>
        <v>458.64000000000004</v>
      </c>
      <c r="K714" s="709">
        <f t="shared" si="94"/>
        <v>7677.1880606914392</v>
      </c>
      <c r="L714" s="719">
        <v>5550</v>
      </c>
      <c r="S714" s="704">
        <f t="shared" si="92"/>
        <v>2797200</v>
      </c>
      <c r="T714" s="903">
        <f t="shared" si="93"/>
        <v>3869302.7825884852</v>
      </c>
    </row>
    <row r="715" spans="1:20" ht="17.25" customHeight="1">
      <c r="A715" s="708">
        <f t="shared" si="80"/>
        <v>148</v>
      </c>
      <c r="B715" s="291" t="s">
        <v>430</v>
      </c>
      <c r="C715" s="724">
        <v>42734</v>
      </c>
      <c r="D715" s="725" t="s">
        <v>1544</v>
      </c>
      <c r="E715" s="803">
        <v>49</v>
      </c>
      <c r="F715" s="802">
        <v>38</v>
      </c>
      <c r="G715" s="802">
        <v>12</v>
      </c>
      <c r="H715" s="798">
        <f t="shared" si="81"/>
        <v>0.95</v>
      </c>
      <c r="I715" s="709">
        <v>540</v>
      </c>
      <c r="J715" s="709">
        <f t="shared" si="82"/>
        <v>513</v>
      </c>
      <c r="K715" s="709">
        <f t="shared" si="94"/>
        <v>8014.6468765460077</v>
      </c>
      <c r="L715" s="719">
        <v>10500</v>
      </c>
      <c r="S715" s="704">
        <f t="shared" si="92"/>
        <v>5670000</v>
      </c>
      <c r="T715" s="903">
        <f t="shared" si="93"/>
        <v>4327909.3133348441</v>
      </c>
    </row>
    <row r="716" spans="1:20" ht="17.25" customHeight="1">
      <c r="A716" s="708"/>
      <c r="B716" s="291"/>
      <c r="C716" s="724"/>
      <c r="D716" s="725"/>
      <c r="E716" s="803"/>
      <c r="F716" s="802"/>
      <c r="G716" s="802"/>
      <c r="H716" s="709"/>
      <c r="I716" s="709"/>
      <c r="J716" s="709"/>
      <c r="K716" s="709"/>
      <c r="R716" s="922">
        <f>S717-T717</f>
        <v>6521718</v>
      </c>
    </row>
    <row r="717" spans="1:20" ht="17.25" customHeight="1">
      <c r="A717" s="710"/>
      <c r="B717" s="711" t="s">
        <v>243</v>
      </c>
      <c r="C717" s="730"/>
      <c r="D717" s="731"/>
      <c r="E717" s="796"/>
      <c r="F717" s="796"/>
      <c r="G717" s="796"/>
      <c r="H717" s="799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8" customWidth="1"/>
    <col min="2" max="2" width="15.7109375" style="548" customWidth="1"/>
    <col min="3" max="3" width="16.85546875" style="548" customWidth="1"/>
    <col min="4" max="9" width="15.28515625" style="548" customWidth="1"/>
    <col min="10" max="10" width="10.140625" style="548" customWidth="1"/>
    <col min="11" max="11" width="5.85546875" style="548" customWidth="1"/>
    <col min="12" max="16384" width="10.28515625" style="548"/>
  </cols>
  <sheetData>
    <row r="1" spans="1:11" s="421" customFormat="1" ht="19.5" customHeight="1">
      <c r="A1" s="535" t="str">
        <f>TH!A1</f>
        <v>Đơn vị: CÔNG TY TNHH SX TM KIM DUNG PHÁT</v>
      </c>
      <c r="B1" s="535"/>
      <c r="D1" s="422"/>
      <c r="E1" s="422"/>
      <c r="F1" s="422"/>
      <c r="G1" s="1148" t="s">
        <v>244</v>
      </c>
      <c r="H1" s="1148"/>
      <c r="I1" s="1148"/>
      <c r="J1" s="423"/>
      <c r="K1" s="424"/>
    </row>
    <row r="2" spans="1:11" s="421" customFormat="1" ht="19.5" customHeight="1">
      <c r="A2" s="584" t="str">
        <f>TH!A2</f>
        <v>Địa chỉ: 1A227/1 Ấp 1, Phạm Văn Hai, Bình Chánh, TPHCM</v>
      </c>
      <c r="B2" s="535"/>
      <c r="D2" s="425"/>
      <c r="E2" s="425"/>
      <c r="F2" s="425"/>
      <c r="G2" s="114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9"/>
      <c r="I2" s="1149"/>
      <c r="J2" s="423"/>
      <c r="K2" s="413">
        <v>1</v>
      </c>
    </row>
    <row r="3" spans="1:11" s="421" customFormat="1" ht="15">
      <c r="A3" s="536"/>
      <c r="B3" s="537"/>
      <c r="C3" s="425"/>
      <c r="D3" s="425"/>
      <c r="E3" s="425"/>
      <c r="F3" s="425"/>
      <c r="G3" s="1149"/>
      <c r="H3" s="1149"/>
      <c r="I3" s="1149"/>
      <c r="J3" s="423"/>
    </row>
    <row r="4" spans="1:11" s="539" customFormat="1" ht="17.25" customHeight="1">
      <c r="A4" s="1150" t="s">
        <v>245</v>
      </c>
      <c r="B4" s="1150"/>
      <c r="C4" s="1150"/>
      <c r="D4" s="1150"/>
      <c r="E4" s="1150"/>
      <c r="F4" s="1150"/>
      <c r="G4" s="1150"/>
      <c r="H4" s="1150"/>
      <c r="I4" s="1150"/>
      <c r="J4" s="538"/>
    </row>
    <row r="5" spans="1:11" s="540" customFormat="1" ht="17.25" customHeight="1">
      <c r="B5" s="541"/>
      <c r="C5" s="542" t="s">
        <v>339</v>
      </c>
      <c r="D5" s="541" t="str">
        <f>IF($K$2&lt;10,"0"&amp;$K$2&amp;"  năm 2011",$K$2&amp;"  năm 2011")</f>
        <v>01  năm 2011</v>
      </c>
      <c r="E5" s="541"/>
      <c r="F5" s="541"/>
      <c r="G5" s="541"/>
      <c r="H5" s="541"/>
      <c r="I5" s="541"/>
      <c r="J5" s="541"/>
    </row>
    <row r="6" spans="1:11" s="540" customFormat="1" ht="17.25" customHeight="1">
      <c r="B6" s="543"/>
      <c r="C6" s="1151" t="s">
        <v>246</v>
      </c>
      <c r="D6" s="1151"/>
      <c r="E6" s="1152"/>
      <c r="F6" s="1152"/>
      <c r="G6" s="1152"/>
      <c r="H6" s="659"/>
      <c r="I6" s="543"/>
      <c r="J6" s="541"/>
    </row>
    <row r="7" spans="1:11" s="545" customFormat="1" ht="9.75" customHeight="1">
      <c r="A7" s="544"/>
      <c r="B7" s="544"/>
      <c r="C7" s="544"/>
      <c r="D7" s="544"/>
      <c r="E7" s="544"/>
      <c r="F7" s="544"/>
      <c r="G7" s="544"/>
      <c r="H7" s="544"/>
      <c r="I7" s="544"/>
      <c r="J7" s="543"/>
    </row>
    <row r="8" spans="1:11" s="427" customFormat="1" ht="17.25" customHeight="1">
      <c r="A8" s="1153" t="s">
        <v>247</v>
      </c>
      <c r="B8" s="1154" t="s">
        <v>248</v>
      </c>
      <c r="C8" s="1154" t="s">
        <v>249</v>
      </c>
      <c r="D8" s="1154"/>
      <c r="E8" s="1154"/>
      <c r="F8" s="1154"/>
      <c r="G8" s="1154"/>
      <c r="H8" s="1154"/>
      <c r="I8" s="1154"/>
      <c r="J8" s="426"/>
    </row>
    <row r="9" spans="1:11" s="430" customFormat="1" ht="35.25" customHeight="1">
      <c r="A9" s="1153"/>
      <c r="B9" s="1154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0" customFormat="1" ht="24.75" customHeight="1">
      <c r="A11" s="546" t="s">
        <v>253</v>
      </c>
      <c r="B11" s="547">
        <f>ROUND(SUM(C11:I11),0)</f>
        <v>0</v>
      </c>
      <c r="C11" s="547">
        <v>0</v>
      </c>
      <c r="D11" s="547">
        <v>0</v>
      </c>
      <c r="E11" s="547">
        <v>0</v>
      </c>
      <c r="F11" s="547">
        <v>0</v>
      </c>
      <c r="G11" s="547">
        <v>0</v>
      </c>
      <c r="H11" s="547">
        <v>0</v>
      </c>
      <c r="I11" s="547">
        <v>0</v>
      </c>
      <c r="J11" s="541"/>
    </row>
    <row r="12" spans="1:11" s="540" customFormat="1" ht="24.75" customHeight="1">
      <c r="A12" s="546" t="s">
        <v>254</v>
      </c>
      <c r="B12" s="547">
        <f ca="1">ROUND(SUM(C12:I12),0)</f>
        <v>0</v>
      </c>
      <c r="C12" s="547">
        <f ca="1">IF(ISNA(VLOOKUP($E6,INDIRECT("DSSP"&amp;$K$2),5,0)),0,VLOOKUP($E6,INDIRECT("DSSP"&amp;$K$2),5,0))</f>
        <v>0</v>
      </c>
      <c r="D12" s="547">
        <f ca="1">IF(ISNA(VLOOKUP($E6,INDIRECT("DSSP"&amp;$K$2),6,0)),0,VLOOKUP($E6,INDIRECT("DSSP"&amp;$K$2),6,0))</f>
        <v>0</v>
      </c>
      <c r="E12" s="547">
        <f ca="1">IF(ISNA(VLOOKUP($E6,INDIRECT("DSSP"&amp;$K$2),7,0)),0,VLOOKUP($E6,INDIRECT("DSSP"&amp;$K$2),7,0))</f>
        <v>0</v>
      </c>
      <c r="F12" s="547">
        <f ca="1">IF(ISNA(VLOOKUP($E6,INDIRECT("DSSP"&amp;$K$2),8,0)),0,VLOOKUP($E6,INDIRECT("DSSP"&amp;$K$2),8,0))</f>
        <v>0</v>
      </c>
      <c r="G12" s="547">
        <f ca="1">IF(ISNA(VLOOKUP($E6,INDIRECT("DSSP"&amp;$K$2),9,0)),0,VLOOKUP($E6,INDIRECT("DSSP"&amp;$K$2),9,0))</f>
        <v>0</v>
      </c>
      <c r="H12" s="547">
        <f ca="1">IF(ISNA(VLOOKUP($E6,INDIRECT("DSSP"&amp;$K$2),10,0)),0,VLOOKUP($E6,INDIRECT("DSSP"&amp;$K$2),10,0))</f>
        <v>0</v>
      </c>
      <c r="I12" s="547">
        <f ca="1">IF(ISNA(VLOOKUP($E6,INDIRECT("DSSP"&amp;$K$2),11,0)),0,VLOOKUP($E6,INDIRECT("DSSP"&amp;$K$2),11,0))</f>
        <v>0</v>
      </c>
      <c r="J12" s="541"/>
    </row>
    <row r="13" spans="1:11" s="540" customFormat="1" ht="24.75" customHeight="1">
      <c r="A13" s="546" t="s">
        <v>255</v>
      </c>
      <c r="B13" s="547">
        <f ca="1">ROUND(IF(ISNA(VLOOKUP($E6,INDIRECT("DSSP"&amp;$K$2),13,0)),0,VLOOKUP($E6,INDIRECT("DSSP"&amp;$K$2),13,0)),0)</f>
        <v>0</v>
      </c>
      <c r="C13" s="547">
        <f t="shared" ref="C13:I13" ca="1" si="0">C12</f>
        <v>0</v>
      </c>
      <c r="D13" s="547">
        <f t="shared" ca="1" si="0"/>
        <v>0</v>
      </c>
      <c r="E13" s="547">
        <f t="shared" ca="1" si="0"/>
        <v>0</v>
      </c>
      <c r="F13" s="547"/>
      <c r="G13" s="547">
        <f t="shared" ca="1" si="0"/>
        <v>0</v>
      </c>
      <c r="H13" s="547"/>
      <c r="I13" s="547">
        <f t="shared" ca="1" si="0"/>
        <v>0</v>
      </c>
      <c r="J13" s="541"/>
    </row>
    <row r="14" spans="1:11" s="540" customFormat="1" ht="24.75" customHeight="1">
      <c r="A14" s="546" t="s">
        <v>256</v>
      </c>
      <c r="B14" s="547">
        <f ca="1">B12-B13</f>
        <v>0</v>
      </c>
      <c r="C14" s="547">
        <f t="shared" ref="C14:I14" ca="1" si="1">C12-C13</f>
        <v>0</v>
      </c>
      <c r="D14" s="547">
        <f t="shared" ca="1" si="1"/>
        <v>0</v>
      </c>
      <c r="E14" s="547">
        <f t="shared" ca="1" si="1"/>
        <v>0</v>
      </c>
      <c r="F14" s="547"/>
      <c r="G14" s="547">
        <f t="shared" ca="1" si="1"/>
        <v>0</v>
      </c>
      <c r="H14" s="547"/>
      <c r="I14" s="547">
        <f t="shared" ca="1" si="1"/>
        <v>0</v>
      </c>
      <c r="J14" s="541"/>
    </row>
    <row r="15" spans="1:11" s="540" customFormat="1" ht="15">
      <c r="B15" s="541"/>
      <c r="C15" s="541"/>
      <c r="D15" s="541"/>
      <c r="E15" s="541"/>
      <c r="F15" s="541"/>
      <c r="G15" s="541"/>
      <c r="H15" s="541"/>
      <c r="I15" s="541"/>
      <c r="J15" s="541"/>
    </row>
    <row r="16" spans="1:11" s="540" customFormat="1" ht="15">
      <c r="B16" s="541"/>
      <c r="C16" s="541"/>
      <c r="D16" s="541"/>
      <c r="E16" s="114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7"/>
      <c r="G16" s="1147"/>
      <c r="H16" s="1147"/>
      <c r="I16" s="1147"/>
      <c r="J16" s="541"/>
    </row>
    <row r="17" spans="2:10" s="540" customFormat="1" ht="15">
      <c r="B17" s="433" t="s">
        <v>257</v>
      </c>
      <c r="C17" s="541"/>
      <c r="D17" s="541"/>
      <c r="E17" s="1147" t="s">
        <v>12</v>
      </c>
      <c r="F17" s="1147"/>
      <c r="G17" s="1147"/>
      <c r="H17" s="1147"/>
      <c r="I17" s="1147"/>
      <c r="J17" s="541"/>
    </row>
    <row r="19" spans="2:10" ht="15">
      <c r="E19" s="549"/>
      <c r="F19" s="549"/>
    </row>
    <row r="26" spans="2:10">
      <c r="B26" s="52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7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85" t="str">
        <f>TH!A1</f>
        <v>Đơn vị: CÔNG TY TNHH SX TM KIM DUNG PHÁT</v>
      </c>
      <c r="L1" s="1165" t="s">
        <v>278</v>
      </c>
      <c r="M1" s="1165"/>
      <c r="N1" s="1165"/>
      <c r="O1" s="1165"/>
    </row>
    <row r="2" spans="1:18" ht="15" customHeight="1">
      <c r="A2" s="464" t="str">
        <f>TH!A2</f>
        <v>Địa chỉ: 1A227/1 Ấp 1, Phạm Văn Hai, Bình Chánh, TPHCM</v>
      </c>
      <c r="L2" s="116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4"/>
      <c r="N2" s="1164"/>
      <c r="O2" s="1164"/>
    </row>
    <row r="3" spans="1:18" ht="15" customHeight="1">
      <c r="L3" s="1164"/>
      <c r="M3" s="1164"/>
      <c r="N3" s="1164"/>
      <c r="O3" s="1164"/>
    </row>
    <row r="5" spans="1:18" s="470" customFormat="1" ht="24" customHeight="1">
      <c r="A5" s="1166" t="s">
        <v>279</v>
      </c>
      <c r="B5" s="1166"/>
      <c r="C5" s="1166"/>
      <c r="D5" s="1166"/>
      <c r="E5" s="1166"/>
      <c r="F5" s="1166"/>
      <c r="G5" s="1166"/>
      <c r="H5" s="1166"/>
      <c r="I5" s="1166"/>
      <c r="J5" s="1166"/>
      <c r="K5" s="1166"/>
      <c r="L5" s="1166"/>
      <c r="M5" s="1166"/>
      <c r="N5" s="1166"/>
      <c r="O5" s="1166"/>
      <c r="P5" s="528"/>
    </row>
    <row r="6" spans="1:18" s="470" customFormat="1" ht="21" customHeight="1">
      <c r="A6" s="1167" t="s">
        <v>376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528"/>
    </row>
    <row r="7" spans="1:18" s="470" customFormat="1" ht="21" customHeight="1">
      <c r="A7" s="1168" t="s">
        <v>321</v>
      </c>
      <c r="B7" s="1168"/>
      <c r="C7" s="1168"/>
      <c r="D7" s="1168"/>
      <c r="E7" s="1168"/>
      <c r="F7" s="1168"/>
      <c r="G7" s="1168"/>
      <c r="H7" s="1168"/>
      <c r="I7" s="1168"/>
      <c r="J7" s="1168"/>
      <c r="K7" s="1168"/>
      <c r="L7" s="1168"/>
      <c r="M7" s="1168"/>
      <c r="N7" s="1168"/>
      <c r="O7" s="1168"/>
      <c r="P7" s="528"/>
    </row>
    <row r="8" spans="1:18">
      <c r="D8" s="466"/>
    </row>
    <row r="9" spans="1:18" s="471" customFormat="1" ht="24" customHeight="1">
      <c r="A9" s="1155" t="s">
        <v>232</v>
      </c>
      <c r="B9" s="1158" t="s">
        <v>280</v>
      </c>
      <c r="C9" s="1159"/>
      <c r="D9" s="1159"/>
      <c r="E9" s="1159"/>
      <c r="F9" s="1159"/>
      <c r="G9" s="1159"/>
      <c r="H9" s="1160"/>
      <c r="I9" s="1158" t="s">
        <v>281</v>
      </c>
      <c r="J9" s="1159"/>
      <c r="K9" s="1159"/>
      <c r="L9" s="1160"/>
      <c r="M9" s="1161" t="s">
        <v>282</v>
      </c>
      <c r="N9" s="1161"/>
      <c r="O9" s="1161"/>
      <c r="P9" s="529"/>
    </row>
    <row r="10" spans="1:18" s="471" customFormat="1" ht="24" customHeight="1">
      <c r="A10" s="1156"/>
      <c r="B10" s="1158" t="s">
        <v>283</v>
      </c>
      <c r="C10" s="1160"/>
      <c r="D10" s="1155" t="s">
        <v>284</v>
      </c>
      <c r="E10" s="1155" t="s">
        <v>285</v>
      </c>
      <c r="F10" s="1155" t="s">
        <v>286</v>
      </c>
      <c r="G10" s="1155" t="s">
        <v>287</v>
      </c>
      <c r="H10" s="1155" t="s">
        <v>288</v>
      </c>
      <c r="I10" s="1158" t="s">
        <v>289</v>
      </c>
      <c r="J10" s="1160"/>
      <c r="K10" s="1162" t="s">
        <v>290</v>
      </c>
      <c r="L10" s="1155" t="s">
        <v>291</v>
      </c>
      <c r="M10" s="1161" t="s">
        <v>283</v>
      </c>
      <c r="N10" s="1161"/>
      <c r="O10" s="1161" t="s">
        <v>292</v>
      </c>
      <c r="P10" s="529"/>
    </row>
    <row r="11" spans="1:18" s="471" customFormat="1" ht="55.5" customHeight="1">
      <c r="A11" s="1157"/>
      <c r="B11" s="472" t="s">
        <v>293</v>
      </c>
      <c r="C11" s="472" t="s">
        <v>233</v>
      </c>
      <c r="D11" s="1157"/>
      <c r="E11" s="1157"/>
      <c r="F11" s="1157"/>
      <c r="G11" s="1157"/>
      <c r="H11" s="1157"/>
      <c r="I11" s="472" t="s">
        <v>294</v>
      </c>
      <c r="J11" s="472" t="s">
        <v>295</v>
      </c>
      <c r="K11" s="1163"/>
      <c r="L11" s="1157"/>
      <c r="M11" s="472" t="s">
        <v>15</v>
      </c>
      <c r="N11" s="472" t="s">
        <v>233</v>
      </c>
      <c r="O11" s="1161"/>
      <c r="P11" s="529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0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1"/>
      <c r="H13" s="501"/>
      <c r="I13" s="501"/>
      <c r="J13" s="501"/>
      <c r="K13" s="501"/>
      <c r="L13" s="8"/>
      <c r="M13" s="494"/>
      <c r="N13" s="494"/>
      <c r="O13" s="182"/>
      <c r="P13" s="530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1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19" t="s">
        <v>1329</v>
      </c>
      <c r="N14" s="918">
        <v>42563</v>
      </c>
      <c r="O14" s="182" t="s">
        <v>1462</v>
      </c>
      <c r="P14" s="530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1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19" t="s">
        <v>1329</v>
      </c>
      <c r="N15" s="918">
        <v>42563</v>
      </c>
      <c r="O15" s="182" t="s">
        <v>1462</v>
      </c>
      <c r="P15" s="530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1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19" t="s">
        <v>1329</v>
      </c>
      <c r="N16" s="918">
        <v>42563</v>
      </c>
      <c r="O16" s="182" t="s">
        <v>1462</v>
      </c>
      <c r="P16" s="530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1455</v>
      </c>
      <c r="E17" s="478" t="s">
        <v>300</v>
      </c>
      <c r="F17" s="911" t="s">
        <v>1456</v>
      </c>
      <c r="G17" s="912" t="s">
        <v>1457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19"/>
      <c r="N17" s="918"/>
      <c r="O17" s="182"/>
      <c r="P17" s="530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1332</v>
      </c>
      <c r="E18" s="478" t="s">
        <v>300</v>
      </c>
      <c r="F18" s="911" t="s">
        <v>1456</v>
      </c>
      <c r="G18" s="912" t="s">
        <v>1458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19" t="s">
        <v>1329</v>
      </c>
      <c r="N18" s="918">
        <v>42563</v>
      </c>
      <c r="O18" s="182" t="s">
        <v>1462</v>
      </c>
      <c r="P18" s="530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0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3" t="s">
        <v>19</v>
      </c>
      <c r="N20" s="533" t="s">
        <v>19</v>
      </c>
      <c r="O20" s="533" t="s">
        <v>19</v>
      </c>
      <c r="P20" s="530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0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4"/>
      <c r="L22" s="467"/>
      <c r="M22" s="420"/>
      <c r="N22" s="420"/>
      <c r="O22" s="420"/>
      <c r="P22" s="530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0" t="str">
        <f>IF(D23='THE-TS'!$D$11,"x","")</f>
        <v/>
      </c>
    </row>
    <row r="24" spans="1:18" ht="13.5" customHeight="1">
      <c r="K24" s="484"/>
      <c r="L24" s="469" t="s">
        <v>377</v>
      </c>
      <c r="P24" s="530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0" t="str">
        <f>IF(D25='THE-TS'!$D$11,"x","")</f>
        <v/>
      </c>
    </row>
    <row r="26" spans="1:18" ht="13.5" customHeight="1">
      <c r="B26" s="466"/>
      <c r="D26" s="466"/>
      <c r="P26" s="530" t="str">
        <f>IF(D26='THE-TS'!$D$11,"x","")</f>
        <v/>
      </c>
    </row>
    <row r="27" spans="1:18" ht="13.5" customHeight="1">
      <c r="H27" s="486"/>
      <c r="J27" s="486"/>
      <c r="L27" s="486"/>
      <c r="P27" s="530" t="str">
        <f>IF(D27='THE-TS'!$D$11,"x","")</f>
        <v/>
      </c>
    </row>
    <row r="28" spans="1:18" ht="13.5" customHeight="1">
      <c r="H28" s="487"/>
      <c r="P28" s="530" t="str">
        <f>IF(D28='THE-TS'!$D$11,"x","")</f>
        <v/>
      </c>
    </row>
    <row r="29" spans="1:18" ht="13.5" customHeight="1">
      <c r="H29" s="487"/>
      <c r="J29" s="486"/>
      <c r="P29" s="530" t="str">
        <f>IF(D29='THE-TS'!$D$11,"x","")</f>
        <v/>
      </c>
    </row>
    <row r="30" spans="1:18" ht="13.5" customHeight="1">
      <c r="H30" s="487"/>
      <c r="P30" s="530" t="str">
        <f>IF(D30='THE-TS'!$D$11,"x","")</f>
        <v/>
      </c>
    </row>
    <row r="31" spans="1:18" ht="13.5" customHeight="1">
      <c r="H31" s="487"/>
      <c r="P31" s="530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0"/>
    </row>
    <row r="33" spans="8:16" ht="13.5">
      <c r="P33" s="530" t="str">
        <f>IF(D33='THE-TS'!$D$11,"x","")</f>
        <v/>
      </c>
    </row>
    <row r="34" spans="8:16" ht="13.5" customHeight="1">
      <c r="H34" s="487"/>
      <c r="P34" s="530" t="str">
        <f>IF(D34='THE-TS'!$D$11,"x","")</f>
        <v/>
      </c>
    </row>
    <row r="35" spans="8:16" ht="13.5">
      <c r="P35" s="53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abSelected="1" topLeftCell="A8" workbookViewId="0">
      <selection activeCell="F21" sqref="F21:G27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86" t="str">
        <f>TH!A1</f>
        <v>Đơn vị: CÔNG TY TNHH SX TM KIM DUNG PHÁT</v>
      </c>
      <c r="B2" s="506"/>
      <c r="C2" s="506"/>
      <c r="D2" s="506"/>
      <c r="E2" s="468"/>
      <c r="F2" s="1165" t="s">
        <v>304</v>
      </c>
      <c r="G2" s="1165"/>
      <c r="H2" s="1165"/>
    </row>
    <row r="3" spans="1:11">
      <c r="A3" s="521" t="str">
        <f>TH!A2</f>
        <v>Địa chỉ: 1A227/1 Ấp 1, Phạm Văn Hai, Bình Chánh, TPHCM</v>
      </c>
      <c r="B3" s="506"/>
      <c r="C3" s="506"/>
      <c r="D3" s="506"/>
      <c r="E3" s="469"/>
      <c r="F3" s="116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4"/>
      <c r="H3" s="1164"/>
    </row>
    <row r="4" spans="1:11">
      <c r="A4" s="466"/>
      <c r="B4" s="466"/>
      <c r="C4" s="469"/>
      <c r="D4" s="469"/>
      <c r="E4" s="469"/>
      <c r="F4" s="1164"/>
      <c r="G4" s="1164"/>
      <c r="H4" s="1164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170" t="s">
        <v>305</v>
      </c>
      <c r="B6" s="1170"/>
      <c r="C6" s="1170"/>
      <c r="D6" s="1170"/>
      <c r="E6" s="1170"/>
      <c r="F6" s="1170"/>
      <c r="G6" s="1170"/>
      <c r="H6" s="1170"/>
    </row>
    <row r="7" spans="1:11" ht="17.25" customHeight="1" thickBot="1">
      <c r="A7" s="1169" t="str">
        <f ca="1" xml:space="preserve"> IF(ROWS($1:1)&gt;COUNT(Dong3),"","Số: "&amp;OFFSET('SO-TS'!$G$1,SMALL(Dong3,ROWS($1:1)),))</f>
        <v>Số: SX01/11</v>
      </c>
      <c r="B7" s="1169"/>
      <c r="C7" s="1169"/>
      <c r="D7" s="1169"/>
      <c r="E7" s="1169"/>
      <c r="F7" s="1169"/>
      <c r="G7" s="1169"/>
      <c r="H7" s="1169"/>
      <c r="J7" s="522" t="s">
        <v>322</v>
      </c>
      <c r="K7" s="523" t="s">
        <v>328</v>
      </c>
    </row>
    <row r="8" spans="1:11" ht="17.25" customHeight="1">
      <c r="A8" s="117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1"/>
      <c r="C8" s="1171"/>
      <c r="D8" s="1171"/>
      <c r="E8" s="1171"/>
      <c r="F8" s="1171"/>
      <c r="G8" s="1171"/>
      <c r="H8" s="1171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4" t="s">
        <v>325</v>
      </c>
      <c r="B16" s="524"/>
      <c r="C16" s="524"/>
      <c r="D16" s="524"/>
      <c r="E16" s="524"/>
      <c r="F16" s="524"/>
      <c r="G16" s="524"/>
      <c r="H16" s="524"/>
    </row>
    <row r="17" spans="1:8" s="518" customFormat="1" ht="18" customHeight="1">
      <c r="A17" s="1174" t="s">
        <v>125</v>
      </c>
      <c r="B17" s="1175"/>
      <c r="C17" s="1178" t="s">
        <v>307</v>
      </c>
      <c r="D17" s="1179"/>
      <c r="E17" s="1180"/>
      <c r="F17" s="1181" t="s">
        <v>308</v>
      </c>
      <c r="G17" s="1182"/>
      <c r="H17" s="1183"/>
    </row>
    <row r="18" spans="1:8" s="518" customFormat="1" ht="28.5" customHeight="1">
      <c r="A18" s="1176"/>
      <c r="B18" s="1177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0" customFormat="1">
      <c r="A19" s="1184" t="s">
        <v>2</v>
      </c>
      <c r="B19" s="1185"/>
      <c r="C19" s="519" t="s">
        <v>3</v>
      </c>
      <c r="D19" s="519" t="s">
        <v>4</v>
      </c>
      <c r="E19" s="519">
        <v>1</v>
      </c>
      <c r="F19" s="519">
        <v>2</v>
      </c>
      <c r="G19" s="519">
        <v>3</v>
      </c>
      <c r="H19" s="519">
        <v>4</v>
      </c>
    </row>
    <row r="20" spans="1:8" ht="17.25" customHeight="1">
      <c r="A20" s="1196">
        <f ca="1">IF(B20&lt;&gt;"",ROW()-19,"")</f>
        <v>1</v>
      </c>
      <c r="B20" s="1197" t="str">
        <f ca="1" xml:space="preserve"> IF(ROWS($1:1)&gt;COUNT(Dong3),"",OFFSET('SO-TS'!G$1,SMALL(Dong3,ROWS($1:1)),))</f>
        <v>SX01/11</v>
      </c>
      <c r="C20" s="1197" t="str">
        <f ca="1" xml:space="preserve"> IF(ROWS($1:1)&gt;COUNT(Dong3),"",OFFSET('SO-TS'!F$1,SMALL(Dong3,ROWS($1:1)),))</f>
        <v>06/2011</v>
      </c>
      <c r="D20" s="1198" t="str">
        <f ca="1" xml:space="preserve"> IF(ROWS($1:1)&gt;COUNT(Dong3),"",OFFSET('SO-TS'!D$1,SMALL(Dong3,ROWS($1:1)),))</f>
        <v>Máy chap khe khổ 2m</v>
      </c>
      <c r="E20" s="1199">
        <f ca="1" xml:space="preserve"> IF(ROWS($1:1)&gt;COUNT(Dong3),"",OFFSET('SO-TS'!H$1,SMALL(Dong3,ROWS($1:1)),))</f>
        <v>18000000</v>
      </c>
      <c r="F20" s="1200" t="str">
        <f ca="1" xml:space="preserve"> IF(ROWS($1:1)&gt;COUNT(Dong3),"",RIGHT(OFFSET('SO-TS'!F$1,SMALL(Dong3,ROWS($1:1)),),4))</f>
        <v>2011</v>
      </c>
      <c r="G20" s="1201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1201">
        <f ca="1">G20</f>
        <v>2100000</v>
      </c>
    </row>
    <row r="21" spans="1:8" ht="17.25" customHeight="1">
      <c r="A21" s="6"/>
      <c r="B21" s="1202"/>
      <c r="C21" s="1202"/>
      <c r="D21" s="1203"/>
      <c r="E21" s="258"/>
      <c r="F21" s="532">
        <f ca="1">IF(OR(F20="",AND((ROW()-19)&gt;OFFSET('SO-TS'!I$1,SMALL(Dong3,ROWS(1:1)),)+1),$E$29-H20&lt;=0),"",IF(VALUE(F20)&gt;=VALUE(YEAR(TH!$C$10)),"",F20+1))</f>
        <v>2012</v>
      </c>
      <c r="G21" s="744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3600000</v>
      </c>
      <c r="H21" s="743">
        <f ca="1">IF(G21&lt;&gt;0,H20+G21,0)</f>
        <v>5700000</v>
      </c>
    </row>
    <row r="22" spans="1:8" ht="17.25" customHeight="1">
      <c r="A22" s="6"/>
      <c r="B22" s="1202"/>
      <c r="C22" s="1202"/>
      <c r="D22" s="1203"/>
      <c r="E22" s="258"/>
      <c r="F22" s="532">
        <f ca="1">IF(OR(F21="",AND((ROW()-19)&gt;OFFSET('SO-TS'!I$1,SMALL(Dong3,ROWS(2:2)),)+1),$E$29-H21&lt;=0),"",IF(VALUE(F21)&gt;=VALUE(YEAR(TH!$C$10)),"",F21+1))</f>
        <v>2013</v>
      </c>
      <c r="G22" s="744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3600000</v>
      </c>
      <c r="H22" s="743">
        <f t="shared" ref="H22:H27" ca="1" si="0">IF(G22&lt;&gt;0,H21+G22,0)</f>
        <v>9300000</v>
      </c>
    </row>
    <row r="23" spans="1:8" ht="17.25" customHeight="1">
      <c r="A23" s="6"/>
      <c r="B23" s="1202"/>
      <c r="C23" s="1202"/>
      <c r="D23" s="1203"/>
      <c r="E23" s="258"/>
      <c r="F23" s="532">
        <f ca="1">IF(OR(F22="",AND((ROW()-19)&gt;OFFSET('SO-TS'!I$1,SMALL(Dong3,ROWS(3:3)),)+1),$E$29-H22&lt;=0),"",IF(VALUE(F22)&gt;=VALUE(YEAR(TH!$C$10)),"",F22+1))</f>
        <v>2014</v>
      </c>
      <c r="G23" s="744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3600000</v>
      </c>
      <c r="H23" s="743">
        <f t="shared" ca="1" si="0"/>
        <v>12900000</v>
      </c>
    </row>
    <row r="24" spans="1:8" ht="17.25" customHeight="1">
      <c r="A24" s="6"/>
      <c r="B24" s="1202"/>
      <c r="C24" s="1202"/>
      <c r="D24" s="1203"/>
      <c r="E24" s="258"/>
      <c r="F24" s="532">
        <f ca="1">IF(OR(F23="",AND((ROW()-19)&gt;OFFSET('SO-TS'!I$1,SMALL(Dong3,ROWS(4:4)),)+1),$E$29-H23&lt;=0),"",IF(VALUE(F23)&gt;=VALUE(YEAR(TH!$C$10)),"",F23+1))</f>
        <v>2015</v>
      </c>
      <c r="G24" s="744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3600000</v>
      </c>
      <c r="H24" s="743">
        <f t="shared" ca="1" si="0"/>
        <v>16500000</v>
      </c>
    </row>
    <row r="25" spans="1:8" ht="17.25" customHeight="1">
      <c r="A25" s="6"/>
      <c r="B25" s="1202"/>
      <c r="C25" s="1202"/>
      <c r="D25" s="1203"/>
      <c r="E25" s="258"/>
      <c r="F25" s="532">
        <f ca="1">IF(OR(F24="",AND((ROW()-19)&gt;OFFSET('SO-TS'!I$1,SMALL(Dong3,ROWS(5:5)),)+1),$E$29-H24&lt;=0),"",IF(VALUE(F24)&gt;=VALUE(YEAR(TH!$C$10)),"",F24+1))</f>
        <v>2016</v>
      </c>
      <c r="G25" s="744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1500000</v>
      </c>
      <c r="H25" s="743">
        <f t="shared" ca="1" si="0"/>
        <v>18000000</v>
      </c>
    </row>
    <row r="26" spans="1:8" ht="17.25" customHeight="1">
      <c r="A26" s="6"/>
      <c r="B26" s="1202"/>
      <c r="C26" s="1202"/>
      <c r="D26" s="1203"/>
      <c r="E26" s="258"/>
      <c r="F26" s="532" t="str">
        <f ca="1">IF(OR(F25="",AND((ROW()-19)&gt;OFFSET('SO-TS'!I$1,SMALL(Dong3,ROWS(6:6)),)+1),$E$29-H25&lt;=0),"",IF(VALUE(F25)&gt;=VALUE(YEAR(TH!$C$10)),"",F25+1))</f>
        <v/>
      </c>
      <c r="G26" s="744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0</v>
      </c>
      <c r="H26" s="743">
        <f t="shared" ca="1" si="0"/>
        <v>0</v>
      </c>
    </row>
    <row r="27" spans="1:8" ht="17.25" customHeight="1">
      <c r="A27" s="6"/>
      <c r="B27" s="1202"/>
      <c r="C27" s="1202"/>
      <c r="D27" s="1203"/>
      <c r="E27" s="258"/>
      <c r="F27" s="532" t="str">
        <f ca="1">IF(OR(F26="",AND((ROW()-19)&gt;OFFSET('SO-TS'!I$1,SMALL(Dong3,ROWS(7:7)),)+1),$E$29-H26&lt;=0),"",IF(VALUE(F26)&gt;=VALUE(YEAR(TH!$C$10)),"",F26+1))</f>
        <v/>
      </c>
      <c r="G27" s="744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0</v>
      </c>
      <c r="H27" s="743">
        <f t="shared" ca="1" si="0"/>
        <v>0</v>
      </c>
    </row>
    <row r="28" spans="1:8" ht="17.25" customHeight="1">
      <c r="A28" s="1204" t="str">
        <f t="shared" ref="A28" si="1">IF(B28&lt;&gt;"",ROW()-19,"")</f>
        <v/>
      </c>
      <c r="B28" s="1205"/>
      <c r="C28" s="1206"/>
      <c r="D28" s="1206"/>
      <c r="E28" s="1207"/>
      <c r="F28" s="1208"/>
      <c r="G28" s="1207"/>
      <c r="H28" s="1207"/>
    </row>
    <row r="29" spans="1:8" ht="17.25" customHeight="1">
      <c r="A29" s="479"/>
      <c r="B29" s="479" t="s">
        <v>314</v>
      </c>
      <c r="C29" s="508"/>
      <c r="D29" s="508"/>
      <c r="E29" s="533">
        <f ca="1">SUM(E20:E28)</f>
        <v>18000000</v>
      </c>
      <c r="F29" s="508"/>
      <c r="G29" s="533">
        <f ca="1">SUM(G20:G28)</f>
        <v>18000000</v>
      </c>
      <c r="H29" s="533"/>
    </row>
    <row r="30" spans="1:8" ht="17.25" customHeight="1">
      <c r="A30" s="509"/>
      <c r="B30" s="509"/>
      <c r="C30" s="510"/>
      <c r="D30" s="510"/>
      <c r="E30" s="510"/>
      <c r="F30" s="510"/>
      <c r="G30" s="511"/>
      <c r="H30" s="511"/>
    </row>
    <row r="31" spans="1:8" ht="17.25" customHeight="1">
      <c r="A31" s="509"/>
      <c r="B31" s="509"/>
      <c r="C31" s="510"/>
      <c r="D31" s="510"/>
      <c r="E31" s="510"/>
      <c r="F31" s="510"/>
      <c r="G31" s="511"/>
      <c r="H31" s="511"/>
    </row>
    <row r="32" spans="1:8" ht="17.25" customHeight="1">
      <c r="A32" s="1186" t="s">
        <v>315</v>
      </c>
      <c r="B32" s="1186"/>
      <c r="C32" s="1186"/>
      <c r="D32" s="1186"/>
      <c r="E32" s="1186"/>
      <c r="F32" s="1186"/>
      <c r="G32" s="1186"/>
      <c r="H32" s="1186"/>
    </row>
    <row r="33" spans="1:8" ht="27" customHeight="1">
      <c r="A33" s="479" t="s">
        <v>35</v>
      </c>
      <c r="B33" s="1158" t="s">
        <v>316</v>
      </c>
      <c r="C33" s="1160"/>
      <c r="D33" s="508" t="s">
        <v>193</v>
      </c>
      <c r="E33" s="508" t="s">
        <v>317</v>
      </c>
      <c r="F33" s="508" t="s">
        <v>318</v>
      </c>
      <c r="G33" s="511"/>
      <c r="H33" s="511"/>
    </row>
    <row r="34" spans="1:8" ht="17.25" customHeight="1">
      <c r="A34" s="479" t="s">
        <v>2</v>
      </c>
      <c r="B34" s="479" t="s">
        <v>3</v>
      </c>
      <c r="C34" s="508"/>
      <c r="D34" s="508" t="s">
        <v>4</v>
      </c>
      <c r="E34" s="508">
        <v>1</v>
      </c>
      <c r="F34" s="508">
        <v>2</v>
      </c>
      <c r="G34" s="511"/>
      <c r="H34" s="511"/>
    </row>
    <row r="35" spans="1:8" ht="17.25" customHeight="1">
      <c r="A35" s="512"/>
      <c r="B35" s="512"/>
      <c r="C35" s="513"/>
      <c r="D35" s="513"/>
      <c r="E35" s="513"/>
      <c r="F35" s="513"/>
      <c r="G35" s="511"/>
      <c r="H35" s="511"/>
    </row>
    <row r="36" spans="1:8" ht="17.25" customHeight="1">
      <c r="A36" s="514"/>
      <c r="B36" s="514"/>
      <c r="C36" s="515"/>
      <c r="D36" s="515"/>
      <c r="E36" s="515"/>
      <c r="F36" s="515"/>
      <c r="G36" s="511"/>
      <c r="H36" s="511"/>
    </row>
    <row r="37" spans="1:8" ht="17.25" customHeight="1">
      <c r="A37" s="514"/>
      <c r="B37" s="514"/>
      <c r="C37" s="515"/>
      <c r="D37" s="515"/>
      <c r="E37" s="515"/>
      <c r="F37" s="515"/>
      <c r="G37" s="511"/>
      <c r="H37" s="511"/>
    </row>
    <row r="38" spans="1:8" ht="17.25" customHeight="1">
      <c r="A38" s="514"/>
      <c r="B38" s="514"/>
      <c r="C38" s="515"/>
      <c r="D38" s="515"/>
      <c r="E38" s="515"/>
      <c r="F38" s="515"/>
      <c r="G38" s="511"/>
      <c r="H38" s="511"/>
    </row>
    <row r="39" spans="1:8" ht="17.25" customHeight="1">
      <c r="A39" s="516"/>
      <c r="B39" s="516"/>
      <c r="C39" s="517"/>
      <c r="D39" s="517"/>
      <c r="E39" s="517"/>
      <c r="F39" s="517"/>
      <c r="G39" s="511"/>
      <c r="H39" s="511"/>
    </row>
    <row r="40" spans="1:8">
      <c r="A40" s="509"/>
      <c r="B40" s="509"/>
      <c r="C40" s="510"/>
      <c r="D40" s="510"/>
      <c r="E40" s="510"/>
      <c r="F40" s="510"/>
      <c r="G40" s="511"/>
      <c r="H40" s="511"/>
    </row>
    <row r="41" spans="1:8">
      <c r="A41" s="1187" t="str">
        <f ca="1" xml:space="preserve"> IF(ROWS($1:1)&gt;COUNT(Dong3),"","Ghi giảm TSCĐ chứng từ số:  "&amp;OFFSET('SO-TS'!$M$1,SMALL(Dong3,ROWS($1:1)),))</f>
        <v>Ghi giảm TSCĐ chứng từ số:  0000498</v>
      </c>
      <c r="B41" s="1187"/>
      <c r="C41" s="1187"/>
      <c r="D41" s="1187"/>
      <c r="E41" s="1187"/>
      <c r="F41" s="1187"/>
      <c r="G41" s="1187"/>
      <c r="H41" s="1187"/>
    </row>
    <row r="42" spans="1:8">
      <c r="A42" s="1187" t="str">
        <f ca="1" xml:space="preserve"> IF(ROWS($1:1)&gt;COUNT(Dong3),"","Lý do giảm:   "&amp;OFFSET('SO-TS'!$O$1,SMALL(Dong3,ROWS($1:1)),))</f>
        <v>Lý do giảm:   Bán TSCĐ</v>
      </c>
      <c r="B42" s="1187"/>
      <c r="C42" s="1187"/>
      <c r="D42" s="1187"/>
      <c r="E42" s="1187"/>
      <c r="F42" s="1187"/>
      <c r="G42" s="1187"/>
      <c r="H42" s="1187"/>
    </row>
    <row r="43" spans="1:8">
      <c r="A43" s="489"/>
      <c r="B43" s="489"/>
      <c r="C43" s="484"/>
      <c r="D43" s="484"/>
      <c r="E43" s="1173" t="s">
        <v>368</v>
      </c>
      <c r="F43" s="1173"/>
      <c r="G43" s="1173"/>
      <c r="H43" s="1173"/>
    </row>
    <row r="44" spans="1:8">
      <c r="A44" s="1169" t="s">
        <v>319</v>
      </c>
      <c r="B44" s="1169"/>
      <c r="C44" s="1169" t="s">
        <v>12</v>
      </c>
      <c r="D44" s="1169"/>
      <c r="E44" s="1165" t="s">
        <v>109</v>
      </c>
      <c r="F44" s="1165"/>
      <c r="G44" s="1165"/>
      <c r="H44" s="1165"/>
    </row>
    <row r="45" spans="1:8">
      <c r="A45" s="466"/>
      <c r="B45" s="466"/>
      <c r="C45" s="469"/>
      <c r="D45" s="469"/>
      <c r="E45" s="469"/>
      <c r="F45" s="469"/>
      <c r="G45" s="469"/>
      <c r="H45" s="469"/>
    </row>
    <row r="46" spans="1:8" ht="409.6">
      <c r="A46" s="466"/>
      <c r="B46" s="466"/>
      <c r="C46" s="469"/>
      <c r="D46" s="469"/>
      <c r="E46" s="469"/>
      <c r="F46" s="469"/>
      <c r="G46" s="469"/>
      <c r="H46" s="469"/>
    </row>
    <row r="47" spans="1:8" ht="409.6">
      <c r="A47" s="466"/>
      <c r="B47" s="466"/>
      <c r="C47" s="469"/>
      <c r="D47" s="469"/>
      <c r="E47" s="469"/>
      <c r="F47" s="469"/>
      <c r="G47" s="469"/>
      <c r="H47" s="469"/>
    </row>
    <row r="48" spans="1:8" ht="409.6">
      <c r="A48" s="466"/>
      <c r="B48" s="466"/>
      <c r="C48" s="469"/>
      <c r="D48" s="469"/>
      <c r="E48" s="469"/>
      <c r="F48" s="469"/>
      <c r="G48" s="469"/>
      <c r="H48" s="469"/>
    </row>
    <row r="49" spans="1:8">
      <c r="A49" s="466"/>
      <c r="B49" s="466"/>
      <c r="C49" s="469"/>
      <c r="D49" s="469"/>
      <c r="E49" s="469"/>
      <c r="F49" s="469"/>
      <c r="G49" s="469"/>
      <c r="H49" s="469"/>
    </row>
    <row r="50" spans="1:8">
      <c r="A50" s="466"/>
      <c r="B50" s="466"/>
      <c r="C50" s="469"/>
      <c r="D50" s="469"/>
      <c r="E50" s="469"/>
      <c r="F50" s="469"/>
      <c r="G50" s="469"/>
      <c r="H50" s="469"/>
    </row>
    <row r="51" spans="1:8">
      <c r="A51" s="466"/>
      <c r="B51" s="466"/>
      <c r="C51" s="469"/>
      <c r="D51" s="469"/>
      <c r="E51" s="469"/>
      <c r="F51" s="469"/>
      <c r="G51" s="469"/>
      <c r="H51" s="469"/>
    </row>
    <row r="52" spans="1:8">
      <c r="A52" s="1172" t="s">
        <v>151</v>
      </c>
      <c r="B52" s="1172"/>
      <c r="C52" s="484"/>
      <c r="D52" s="484"/>
      <c r="E52" s="1173" t="s">
        <v>103</v>
      </c>
      <c r="F52" s="1173"/>
      <c r="G52" s="1173"/>
      <c r="H52" s="1173"/>
    </row>
  </sheetData>
  <dataConsolidate/>
  <mergeCells count="19"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  <mergeCell ref="F3:H4"/>
    <mergeCell ref="F2:H2"/>
    <mergeCell ref="A44:B44"/>
    <mergeCell ref="C44:D44"/>
    <mergeCell ref="E44:H44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43.42578125" style="661" customWidth="1"/>
    <col min="5" max="5" width="7.140625" style="661" customWidth="1"/>
    <col min="6" max="6" width="14.140625" style="661" customWidth="1"/>
    <col min="7" max="7" width="14.85546875" style="661" customWidth="1"/>
    <col min="8" max="9" width="12" style="661" customWidth="1"/>
    <col min="10" max="10" width="12.85546875" style="661" customWidth="1"/>
    <col min="11" max="12" width="13.5703125" style="661" customWidth="1"/>
    <col min="13" max="13" width="12.7109375" style="661" customWidth="1"/>
    <col min="14" max="14" width="6.28515625" style="661" customWidth="1"/>
    <col min="15" max="15" width="8.42578125" style="661" customWidth="1"/>
    <col min="16" max="16384" width="9.140625" style="661"/>
  </cols>
  <sheetData>
    <row r="2" spans="1:16">
      <c r="A2" s="660" t="str">
        <f>'IN-NX'!A2</f>
        <v>Đơn vị: CÔNG TY TNHH SX TM KIM DUNG PHÁT</v>
      </c>
      <c r="F2" s="662"/>
      <c r="G2" s="662"/>
      <c r="H2" s="662"/>
      <c r="I2" s="662"/>
      <c r="J2" s="1192" t="s">
        <v>381</v>
      </c>
      <c r="K2" s="1192"/>
      <c r="L2" s="1192"/>
      <c r="M2" s="1192"/>
    </row>
    <row r="3" spans="1:16" ht="15" customHeight="1">
      <c r="A3" s="690" t="str">
        <f>'IN-NX'!A3</f>
        <v>Địa chỉ: 1A227/1 Ấp 1, Phạm Văn Hai, Bình Chánh, TPHCM</v>
      </c>
      <c r="J3" s="119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5"/>
      <c r="L3" s="1195"/>
      <c r="M3" s="1195"/>
    </row>
    <row r="4" spans="1:16">
      <c r="J4" s="1195"/>
      <c r="K4" s="1195"/>
      <c r="L4" s="1195"/>
      <c r="M4" s="1195"/>
    </row>
    <row r="5" spans="1:16" ht="19.5" customHeight="1">
      <c r="A5" s="1193" t="s">
        <v>382</v>
      </c>
      <c r="B5" s="1193"/>
      <c r="C5" s="1193"/>
      <c r="D5" s="1193"/>
      <c r="E5" s="1193"/>
      <c r="F5" s="1193"/>
      <c r="G5" s="1193"/>
      <c r="H5" s="1193"/>
      <c r="I5" s="1193"/>
      <c r="J5" s="1193"/>
      <c r="K5" s="1193"/>
      <c r="L5" s="1193"/>
      <c r="M5" s="1193"/>
      <c r="N5" s="663" t="s">
        <v>165</v>
      </c>
      <c r="O5" s="595">
        <f>IF(O13="Quý I",1,IF(O13="Quý II",4,IF(O13="Quý III",7,IF(O13="Quý IV",10,""))))</f>
        <v>4</v>
      </c>
      <c r="P5" s="595">
        <f>IF(O13="Quý I",3,IF(O13="Quý II",6,IF(O13="Quý III",9,IF(O13="Quý IV",12,""))))</f>
        <v>6</v>
      </c>
    </row>
    <row r="6" spans="1:16">
      <c r="A6" s="1194" t="s">
        <v>383</v>
      </c>
      <c r="B6" s="1194"/>
      <c r="C6" s="1194"/>
      <c r="D6" s="1194"/>
      <c r="E6" s="1194"/>
      <c r="F6" s="1194"/>
      <c r="G6" s="1194"/>
      <c r="H6" s="1194"/>
      <c r="I6" s="1194"/>
      <c r="J6" s="1194"/>
      <c r="K6" s="1194"/>
      <c r="L6" s="1194"/>
      <c r="M6" s="1194"/>
      <c r="N6" s="688"/>
    </row>
    <row r="7" spans="1:16">
      <c r="B7" s="664"/>
      <c r="C7" s="664"/>
      <c r="D7" s="664"/>
      <c r="E7" s="665" t="s">
        <v>384</v>
      </c>
      <c r="G7" s="664"/>
      <c r="H7" s="664"/>
      <c r="I7" s="664"/>
      <c r="J7" s="664"/>
      <c r="K7" s="664"/>
      <c r="L7" s="664"/>
      <c r="M7" s="664"/>
    </row>
    <row r="8" spans="1:16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  <c r="M8" s="664"/>
    </row>
    <row r="9" spans="1:16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  <c r="M9" s="666"/>
    </row>
    <row r="10" spans="1:16">
      <c r="C10" s="1191"/>
      <c r="D10" s="1191"/>
      <c r="E10" s="1191"/>
      <c r="F10" s="1191"/>
      <c r="G10" s="1191"/>
      <c r="H10" s="1191"/>
      <c r="I10" s="1191"/>
      <c r="J10" s="1191"/>
      <c r="K10" s="1191"/>
      <c r="L10" s="1191"/>
      <c r="M10" s="1191"/>
    </row>
    <row r="11" spans="1:16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387</v>
      </c>
      <c r="G11" s="1189"/>
      <c r="H11" s="1189"/>
      <c r="I11" s="1189"/>
      <c r="J11" s="1189"/>
      <c r="K11" s="1189"/>
      <c r="L11" s="1189"/>
      <c r="M11" s="1189"/>
    </row>
    <row r="12" spans="1:16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388</v>
      </c>
      <c r="G12" s="1190" t="s">
        <v>389</v>
      </c>
      <c r="H12" s="1190"/>
      <c r="I12" s="1190"/>
      <c r="J12" s="1190"/>
      <c r="K12" s="1190"/>
      <c r="L12" s="1190"/>
      <c r="M12" s="1190"/>
    </row>
    <row r="13" spans="1:16" ht="31.5" customHeight="1" thickBot="1">
      <c r="A13" s="1188"/>
      <c r="B13" s="1190"/>
      <c r="C13" s="1190"/>
      <c r="D13" s="1188"/>
      <c r="E13" s="1188"/>
      <c r="F13" s="1190"/>
      <c r="G13" s="667" t="s">
        <v>372</v>
      </c>
      <c r="H13" s="667" t="s">
        <v>373</v>
      </c>
      <c r="I13" s="667" t="s">
        <v>374</v>
      </c>
      <c r="J13" s="667" t="s">
        <v>390</v>
      </c>
      <c r="K13" s="667" t="s">
        <v>391</v>
      </c>
      <c r="L13" s="667" t="s">
        <v>371</v>
      </c>
      <c r="M13" s="667" t="s">
        <v>392</v>
      </c>
      <c r="O13" s="689" t="s">
        <v>355</v>
      </c>
    </row>
    <row r="14" spans="1:16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/>
      <c r="J14" s="668">
        <v>4</v>
      </c>
      <c r="K14" s="668">
        <v>5</v>
      </c>
      <c r="L14" s="668"/>
      <c r="M14" s="668">
        <v>6</v>
      </c>
    </row>
    <row r="15" spans="1:16" ht="22.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  <c r="M15" s="671"/>
    </row>
    <row r="16" spans="1:16" ht="22.5" customHeight="1">
      <c r="A16" s="672">
        <f ca="1">IF(ROWS($1:1)&gt;COUNT(Dong9),"",OFFSET(TH!C$1,SMALL(Dong9,ROWS($1:1)),))</f>
        <v>42461</v>
      </c>
      <c r="B16" s="672" t="str">
        <f ca="1">IF(ROWS($1:1)&gt;COUNT(Dong9),"",OFFSET(TH!D$1,SMALL(Dong9,ROWS($1:1)),))</f>
        <v>CTGS</v>
      </c>
      <c r="C16" s="672">
        <f ca="1">IF(ROWS($1:1)&gt;COUNT(Dong9),"",OFFSET(TH!E$1,SMALL(Dong9,ROWS($1:1)),))</f>
        <v>42461</v>
      </c>
      <c r="D16" s="673" t="str">
        <f ca="1">IF(ROWS($1:1)&gt;COUNT(Dong9),"",OFFSET(TH!F$1,SMALL(Dong9,ROWS($1:1)),))</f>
        <v>Trích khấu hao TSCĐ Hữu hình</v>
      </c>
      <c r="E16" s="672" t="str">
        <f ca="1">IF(ROWS($1:1)&gt;COUNT(Dong9),"",OFFSET(TH!M$1,SMALL(Dong9,ROWS($1:1)),))</f>
        <v>2141</v>
      </c>
      <c r="F16" s="674">
        <f ca="1">IF(ROWS($1:1)&gt;COUNT(Dong9),"",OFFSET(TH!K$1,SMALL(Dong9,ROWS($1:1)),))</f>
        <v>30000000</v>
      </c>
      <c r="G16" s="674">
        <f ca="1">IF($E16="1521",$F16,0)</f>
        <v>0</v>
      </c>
      <c r="H16" s="674">
        <f ca="1">IF($E16="1522",$F16,0)</f>
        <v>0</v>
      </c>
      <c r="I16" s="674">
        <f ca="1">IF(LEFT(D16,6)="Mực in",F16,0)</f>
        <v>0</v>
      </c>
      <c r="J16" s="674">
        <f ca="1">IF(OR(LEFT($E16,3)="334",LEFT($E16,3)="338"),$F16,0)</f>
        <v>0</v>
      </c>
      <c r="K16" s="674">
        <f ca="1">IF(OR(LEFT($E16,3)="331",AND(LEFT($E16,3)="111",$D16="Tiền điện")),$F16,0)</f>
        <v>0</v>
      </c>
      <c r="L16" s="674">
        <f ca="1">IF($E16="142",$F16,0)</f>
        <v>0</v>
      </c>
      <c r="M16" s="674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2">
        <f ca="1">IF(ROWS($1:2)&gt;COUNT(Dong9),"",OFFSET(TH!C$1,SMALL(Dong9,ROWS($1:2)),))</f>
        <v>42490</v>
      </c>
      <c r="B17" s="672" t="str">
        <f ca="1">IF(ROWS($1:2)&gt;COUNT(Dong9),"",OFFSET(TH!D$1,SMALL(Dong9,ROWS($1:2)),))</f>
        <v>CTGS</v>
      </c>
      <c r="C17" s="672">
        <f ca="1">IF(ROWS($1:2)&gt;COUNT(Dong9),"",OFFSET(TH!E$1,SMALL(Dong9,ROWS($1:2)),))</f>
        <v>42490</v>
      </c>
      <c r="D17" s="673" t="str">
        <f ca="1">IF(ROWS($1:2)&gt;COUNT(Dong9),"",OFFSET(TH!F$1,SMALL(Dong9,ROWS($1:2)),))</f>
        <v>Tiền lương BP Phân Xưởng &amp; CN</v>
      </c>
      <c r="E17" s="672" t="str">
        <f ca="1">IF(ROWS($1:2)&gt;COUNT(Dong9),"",OFFSET(TH!M$1,SMALL(Dong9,ROWS($1:2)),))</f>
        <v>3341</v>
      </c>
      <c r="F17" s="674">
        <f ca="1">IF(ROWS($1:2)&gt;COUNT(Dong9),"",OFFSET(TH!K$1,SMALL(Dong9,ROWS($1:2)),))</f>
        <v>16125000</v>
      </c>
      <c r="G17" s="674">
        <f t="shared" ref="G17:G33" ca="1" si="0">IF($E17="1521",$F17,0)</f>
        <v>0</v>
      </c>
      <c r="H17" s="674">
        <f t="shared" ref="H17:H33" ca="1" si="1">IF($E17="1522",$F17,0)</f>
        <v>0</v>
      </c>
      <c r="I17" s="674">
        <f t="shared" ref="I17:I33" ca="1" si="2">IF(LEFT(D17,6)="Mực in",F17,0)</f>
        <v>0</v>
      </c>
      <c r="J17" s="674">
        <f t="shared" ref="J17:J33" ca="1" si="3">IF(OR(LEFT($E17,3)="334",LEFT($E17,3)="338"),$F17,0)</f>
        <v>16125000</v>
      </c>
      <c r="K17" s="674">
        <f t="shared" ref="K17:K33" ca="1" si="4">IF(OR(LEFT($E17,3)="331",AND(LEFT($E17,3)="111",$D17="Tiền điện")),$F17,0)</f>
        <v>0</v>
      </c>
      <c r="L17" s="674">
        <f t="shared" ref="L17:L33" ca="1" si="5">IF($E17="142",$F17,0)</f>
        <v>0</v>
      </c>
      <c r="M17" s="67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2">
        <f ca="1">IF(ROWS($1:3)&gt;COUNT(Dong9),"",OFFSET(TH!C$1,SMALL(Dong9,ROWS($1:3)),))</f>
        <v>42521</v>
      </c>
      <c r="B18" s="672" t="str">
        <f ca="1">IF(ROWS($1:3)&gt;COUNT(Dong9),"",OFFSET(TH!D$1,SMALL(Dong9,ROWS($1:3)),))</f>
        <v>CTGS</v>
      </c>
      <c r="C18" s="672">
        <f ca="1">IF(ROWS($1:3)&gt;COUNT(Dong9),"",OFFSET(TH!E$1,SMALL(Dong9,ROWS($1:3)),))</f>
        <v>42521</v>
      </c>
      <c r="D18" s="673" t="str">
        <f ca="1">IF(ROWS($1:3)&gt;COUNT(Dong9),"",OFFSET(TH!F$1,SMALL(Dong9,ROWS($1:3)),))</f>
        <v>Tiền lương BP Phân Xưởng &amp; CN</v>
      </c>
      <c r="E18" s="672" t="str">
        <f ca="1">IF(ROWS($1:3)&gt;COUNT(Dong9),"",OFFSET(TH!M$1,SMALL(Dong9,ROWS($1:3)),))</f>
        <v>3341</v>
      </c>
      <c r="F18" s="674">
        <f ca="1">IF(ROWS($1:3)&gt;COUNT(Dong9),"",OFFSET(TH!K$1,SMALL(Dong9,ROWS($1:3)),))</f>
        <v>16125000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16125000</v>
      </c>
      <c r="K18" s="674">
        <f t="shared" ca="1" si="4"/>
        <v>0</v>
      </c>
      <c r="L18" s="674">
        <f t="shared" ca="1" si="5"/>
        <v>0</v>
      </c>
      <c r="M18" s="674">
        <f t="shared" ca="1" si="6"/>
        <v>0</v>
      </c>
    </row>
    <row r="19" spans="1:13" ht="22.5" customHeight="1">
      <c r="A19" s="672">
        <f ca="1">IF(ROWS($1:4)&gt;COUNT(Dong9),"",OFFSET(TH!C$1,SMALL(Dong9,ROWS($1:4)),))</f>
        <v>42551</v>
      </c>
      <c r="B19" s="672" t="str">
        <f ca="1">IF(ROWS($1:4)&gt;COUNT(Dong9),"",OFFSET(TH!D$1,SMALL(Dong9,ROWS($1:4)),))</f>
        <v>CTGS</v>
      </c>
      <c r="C19" s="672">
        <f ca="1">IF(ROWS($1:4)&gt;COUNT(Dong9),"",OFFSET(TH!E$1,SMALL(Dong9,ROWS($1:4)),))</f>
        <v>42551</v>
      </c>
      <c r="D19" s="673" t="str">
        <f ca="1">IF(ROWS($1:4)&gt;COUNT(Dong9),"",OFFSET(TH!F$1,SMALL(Dong9,ROWS($1:4)),))</f>
        <v>Tiền lương BP Phân Xưởng &amp; CN</v>
      </c>
      <c r="E19" s="672" t="str">
        <f ca="1">IF(ROWS($1:4)&gt;COUNT(Dong9),"",OFFSET(TH!M$1,SMALL(Dong9,ROWS($1:4)),))</f>
        <v>3341</v>
      </c>
      <c r="F19" s="674">
        <f ca="1">IF(ROWS($1:4)&gt;COUNT(Dong9),"",OFFSET(TH!K$1,SMALL(Dong9,ROWS($1:4)),))</f>
        <v>16170000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16170000</v>
      </c>
      <c r="K19" s="674">
        <f t="shared" ca="1" si="4"/>
        <v>0</v>
      </c>
      <c r="L19" s="674">
        <f t="shared" ca="1" si="5"/>
        <v>0</v>
      </c>
      <c r="M19" s="674">
        <f t="shared" ca="1" si="6"/>
        <v>0</v>
      </c>
    </row>
    <row r="20" spans="1:13" ht="22.5" customHeight="1">
      <c r="A20" s="672">
        <f ca="1">IF(ROWS($1:5)&gt;COUNT(Dong9),"",OFFSET(TH!C$1,SMALL(Dong9,ROWS($1:5)),))</f>
        <v>42486</v>
      </c>
      <c r="B20" s="672">
        <f ca="1">IF(ROWS($1:5)&gt;COUNT(Dong9),"",OFFSET(TH!D$1,SMALL(Dong9,ROWS($1:5)),))</f>
        <v>0</v>
      </c>
      <c r="C20" s="672">
        <f ca="1">IF(ROWS($1:5)&gt;COUNT(Dong9),"",OFFSET(TH!E$1,SMALL(Dong9,ROWS($1:5)),))</f>
        <v>42486</v>
      </c>
      <c r="D20" s="673" t="str">
        <f ca="1">IF(ROWS($1:5)&gt;COUNT(Dong9),"",OFFSET(TH!F$1,SMALL(Dong9,ROWS($1:5)),))</f>
        <v>Mực in</v>
      </c>
      <c r="E20" s="672" t="str">
        <f ca="1">IF(ROWS($1:5)&gt;COUNT(Dong9),"",OFFSET(TH!M$1,SMALL(Dong9,ROWS($1:5)),))</f>
        <v>1111</v>
      </c>
      <c r="F20" s="674">
        <f ca="1">IF(ROWS($1:5)&gt;COUNT(Dong9),"",OFFSET(TH!K$1,SMALL(Dong9,ROWS($1:5)),))</f>
        <v>6580000</v>
      </c>
      <c r="G20" s="674">
        <f t="shared" ca="1" si="0"/>
        <v>0</v>
      </c>
      <c r="H20" s="674">
        <f t="shared" ca="1" si="1"/>
        <v>0</v>
      </c>
      <c r="I20" s="674">
        <f t="shared" ca="1" si="2"/>
        <v>6580000</v>
      </c>
      <c r="J20" s="674">
        <f t="shared" ca="1" si="3"/>
        <v>0</v>
      </c>
      <c r="K20" s="674">
        <f t="shared" ca="1" si="4"/>
        <v>0</v>
      </c>
      <c r="L20" s="674">
        <f t="shared" ca="1" si="5"/>
        <v>0</v>
      </c>
      <c r="M20" s="674">
        <f t="shared" ca="1" si="6"/>
        <v>0</v>
      </c>
    </row>
    <row r="21" spans="1:13" ht="22.5" customHeight="1">
      <c r="A21" s="672">
        <f ca="1">IF(ROWS($1:6)&gt;COUNT(Dong9),"",OFFSET(TH!C$1,SMALL(Dong9,ROWS($1:6)),))</f>
        <v>42517</v>
      </c>
      <c r="B21" s="672" t="str">
        <f ca="1">IF(ROWS($1:6)&gt;COUNT(Dong9),"",OFFSET(TH!D$1,SMALL(Dong9,ROWS($1:6)),))</f>
        <v>VL/X</v>
      </c>
      <c r="C21" s="672">
        <f ca="1">IF(ROWS($1:6)&gt;COUNT(Dong9),"",OFFSET(TH!E$1,SMALL(Dong9,ROWS($1:6)),))</f>
        <v>42517</v>
      </c>
      <c r="D21" s="673" t="str">
        <f ca="1">IF(ROWS($1:6)&gt;COUNT(Dong9),"",OFFSET(TH!F$1,SMALL(Dong9,ROWS($1:6)),))</f>
        <v>Dây nylon</v>
      </c>
      <c r="E21" s="672" t="str">
        <f ca="1">IF(ROWS($1:6)&gt;COUNT(Dong9),"",OFFSET(TH!M$1,SMALL(Dong9,ROWS($1:6)),))</f>
        <v>1522</v>
      </c>
      <c r="F21" s="674">
        <f ca="1">IF(ROWS($1:6)&gt;COUNT(Dong9),"",OFFSET(TH!K$1,SMALL(Dong9,ROWS($1:6)),))</f>
        <v>1008000</v>
      </c>
      <c r="G21" s="674">
        <f t="shared" ca="1" si="0"/>
        <v>0</v>
      </c>
      <c r="H21" s="674">
        <f t="shared" ca="1" si="1"/>
        <v>1008000</v>
      </c>
      <c r="I21" s="674">
        <f t="shared" ca="1" si="2"/>
        <v>0</v>
      </c>
      <c r="J21" s="674">
        <f t="shared" ca="1" si="3"/>
        <v>0</v>
      </c>
      <c r="K21" s="674">
        <f t="shared" ca="1" si="4"/>
        <v>0</v>
      </c>
      <c r="L21" s="674">
        <f t="shared" ca="1" si="5"/>
        <v>0</v>
      </c>
      <c r="M21" s="674">
        <f t="shared" ca="1" si="6"/>
        <v>0</v>
      </c>
    </row>
    <row r="22" spans="1:13" ht="22.5" customHeight="1">
      <c r="A22" s="672">
        <f ca="1">IF(ROWS($1:7)&gt;COUNT(Dong9),"",OFFSET(TH!C$1,SMALL(Dong9,ROWS($1:7)),))</f>
        <v>42527</v>
      </c>
      <c r="B22" s="672" t="str">
        <f ca="1">IF(ROWS($1:7)&gt;COUNT(Dong9),"",OFFSET(TH!D$1,SMALL(Dong9,ROWS($1:7)),))</f>
        <v>VL/X</v>
      </c>
      <c r="C22" s="672">
        <f ca="1">IF(ROWS($1:7)&gt;COUNT(Dong9),"",OFFSET(TH!E$1,SMALL(Dong9,ROWS($1:7)),))</f>
        <v>42527</v>
      </c>
      <c r="D22" s="673" t="str">
        <f ca="1">IF(ROWS($1:7)&gt;COUNT(Dong9),"",OFFSET(TH!F$1,SMALL(Dong9,ROWS($1:7)),))</f>
        <v>Dây kẽm</v>
      </c>
      <c r="E22" s="672" t="str">
        <f ca="1">IF(ROWS($1:7)&gt;COUNT(Dong9),"",OFFSET(TH!M$1,SMALL(Dong9,ROWS($1:7)),))</f>
        <v>1522</v>
      </c>
      <c r="F22" s="674">
        <f ca="1">IF(ROWS($1:7)&gt;COUNT(Dong9),"",OFFSET(TH!K$1,SMALL(Dong9,ROWS($1:7)),))</f>
        <v>6840750</v>
      </c>
      <c r="G22" s="674">
        <f t="shared" ca="1" si="0"/>
        <v>0</v>
      </c>
      <c r="H22" s="674">
        <f t="shared" ca="1" si="1"/>
        <v>6840750</v>
      </c>
      <c r="I22" s="674">
        <f t="shared" ca="1" si="2"/>
        <v>0</v>
      </c>
      <c r="J22" s="674">
        <f t="shared" ca="1" si="3"/>
        <v>0</v>
      </c>
      <c r="K22" s="674">
        <f t="shared" ca="1" si="4"/>
        <v>0</v>
      </c>
      <c r="L22" s="674">
        <f t="shared" ca="1" si="5"/>
        <v>0</v>
      </c>
      <c r="M22" s="674">
        <f t="shared" ca="1" si="6"/>
        <v>0</v>
      </c>
    </row>
    <row r="23" spans="1:13" ht="22.5" customHeight="1">
      <c r="A23" s="672">
        <f ca="1">IF(ROWS($1:8)&gt;COUNT(Dong9),"",OFFSET(TH!C$1,SMALL(Dong9,ROWS($1:8)),))</f>
        <v>42527</v>
      </c>
      <c r="B23" s="672" t="str">
        <f ca="1">IF(ROWS($1:8)&gt;COUNT(Dong9),"",OFFSET(TH!D$1,SMALL(Dong9,ROWS($1:8)),))</f>
        <v>VL/X</v>
      </c>
      <c r="C23" s="672">
        <f ca="1">IF(ROWS($1:8)&gt;COUNT(Dong9),"",OFFSET(TH!E$1,SMALL(Dong9,ROWS($1:8)),))</f>
        <v>42527</v>
      </c>
      <c r="D23" s="673" t="str">
        <f ca="1">IF(ROWS($1:8)&gt;COUNT(Dong9),"",OFFSET(TH!F$1,SMALL(Dong9,ROWS($1:8)),))</f>
        <v>Keo bồi giấy</v>
      </c>
      <c r="E23" s="672" t="str">
        <f ca="1">IF(ROWS($1:8)&gt;COUNT(Dong9),"",OFFSET(TH!M$1,SMALL(Dong9,ROWS($1:8)),))</f>
        <v>1522</v>
      </c>
      <c r="F23" s="674">
        <f ca="1">IF(ROWS($1:8)&gt;COUNT(Dong9),"",OFFSET(TH!K$1,SMALL(Dong9,ROWS($1:8)),))</f>
        <v>7200000</v>
      </c>
      <c r="G23" s="674">
        <f t="shared" ca="1" si="0"/>
        <v>0</v>
      </c>
      <c r="H23" s="674">
        <f t="shared" ca="1" si="1"/>
        <v>7200000</v>
      </c>
      <c r="I23" s="674">
        <f t="shared" ca="1" si="2"/>
        <v>0</v>
      </c>
      <c r="J23" s="674">
        <f t="shared" ca="1" si="3"/>
        <v>0</v>
      </c>
      <c r="K23" s="674">
        <f t="shared" ca="1" si="4"/>
        <v>0</v>
      </c>
      <c r="L23" s="674">
        <f t="shared" ca="1" si="5"/>
        <v>0</v>
      </c>
      <c r="M23" s="674">
        <f t="shared" ca="1" si="6"/>
        <v>0</v>
      </c>
    </row>
    <row r="24" spans="1:13" ht="22.5" customHeight="1">
      <c r="A24" s="672">
        <f ca="1">IF(ROWS($1:9)&gt;COUNT(Dong9),"",OFFSET(TH!C$1,SMALL(Dong9,ROWS($1:9)),))</f>
        <v>42461</v>
      </c>
      <c r="B24" s="672" t="str">
        <f ca="1">IF(ROWS($1:9)&gt;COUNT(Dong9),"",OFFSET(TH!D$1,SMALL(Dong9,ROWS($1:9)),))</f>
        <v>NL/X</v>
      </c>
      <c r="C24" s="672">
        <f ca="1">IF(ROWS($1:9)&gt;COUNT(Dong9),"",OFFSET(TH!E$1,SMALL(Dong9,ROWS($1:9)),))</f>
        <v>42461</v>
      </c>
      <c r="D24" s="673" t="str">
        <f ca="1">IF(ROWS($1:9)&gt;COUNT(Dong9),"",OFFSET(TH!F$1,SMALL(Dong9,ROWS($1:9)),))</f>
        <v>Tấm lót (1440x1150)</v>
      </c>
      <c r="E24" s="672" t="str">
        <f ca="1">IF(ROWS($1:9)&gt;COUNT(Dong9),"",OFFSET(TH!M$1,SMALL(Dong9,ROWS($1:9)),))</f>
        <v>1521</v>
      </c>
      <c r="F24" s="674">
        <f ca="1">IF(ROWS($1:9)&gt;COUNT(Dong9),"",OFFSET(TH!K$1,SMALL(Dong9,ROWS($1:9)),))</f>
        <v>2967900</v>
      </c>
      <c r="G24" s="674">
        <f t="shared" ca="1" si="0"/>
        <v>2967900</v>
      </c>
      <c r="H24" s="674">
        <f t="shared" ca="1" si="1"/>
        <v>0</v>
      </c>
      <c r="I24" s="674">
        <f t="shared" ca="1" si="2"/>
        <v>0</v>
      </c>
      <c r="J24" s="674">
        <f t="shared" ca="1" si="3"/>
        <v>0</v>
      </c>
      <c r="K24" s="674">
        <f t="shared" ca="1" si="4"/>
        <v>0</v>
      </c>
      <c r="L24" s="674">
        <f t="shared" ca="1" si="5"/>
        <v>0</v>
      </c>
      <c r="M24" s="674">
        <f t="shared" ca="1" si="6"/>
        <v>0</v>
      </c>
    </row>
    <row r="25" spans="1:13" ht="22.5" customHeight="1">
      <c r="A25" s="672">
        <f ca="1">IF(ROWS($1:10)&gt;COUNT(Dong9),"",OFFSET(TH!C$1,SMALL(Dong9,ROWS($1:10)),))</f>
        <v>42461</v>
      </c>
      <c r="B25" s="672" t="str">
        <f ca="1">IF(ROWS($1:10)&gt;COUNT(Dong9),"",OFFSET(TH!D$1,SMALL(Dong9,ROWS($1:10)),))</f>
        <v>NL/X</v>
      </c>
      <c r="C25" s="672">
        <f ca="1">IF(ROWS($1:10)&gt;COUNT(Dong9),"",OFFSET(TH!E$1,SMALL(Dong9,ROWS($1:10)),))</f>
        <v>42461</v>
      </c>
      <c r="D25" s="673" t="str">
        <f ca="1">IF(ROWS($1:10)&gt;COUNT(Dong9),"",OFFSET(TH!F$1,SMALL(Dong9,ROWS($1:10)),))</f>
        <v>Tấm lót (1340x1150)</v>
      </c>
      <c r="E25" s="672" t="str">
        <f ca="1">IF(ROWS($1:10)&gt;COUNT(Dong9),"",OFFSET(TH!M$1,SMALL(Dong9,ROWS($1:10)),))</f>
        <v>1521</v>
      </c>
      <c r="F25" s="674">
        <f ca="1">IF(ROWS($1:10)&gt;COUNT(Dong9),"",OFFSET(TH!K$1,SMALL(Dong9,ROWS($1:10)),))</f>
        <v>5892480</v>
      </c>
      <c r="G25" s="674">
        <f t="shared" ca="1" si="0"/>
        <v>5892480</v>
      </c>
      <c r="H25" s="674">
        <f t="shared" ca="1" si="1"/>
        <v>0</v>
      </c>
      <c r="I25" s="674">
        <f t="shared" ca="1" si="2"/>
        <v>0</v>
      </c>
      <c r="J25" s="674">
        <f t="shared" ca="1" si="3"/>
        <v>0</v>
      </c>
      <c r="K25" s="674">
        <f t="shared" ca="1" si="4"/>
        <v>0</v>
      </c>
      <c r="L25" s="674">
        <f t="shared" ca="1" si="5"/>
        <v>0</v>
      </c>
      <c r="M25" s="674">
        <f t="shared" ca="1" si="6"/>
        <v>0</v>
      </c>
    </row>
    <row r="26" spans="1:13" ht="22.5" customHeight="1">
      <c r="A26" s="672">
        <f ca="1">IF(ROWS($1:11)&gt;COUNT(Dong9),"",OFFSET(TH!C$1,SMALL(Dong9,ROWS($1:11)),))</f>
        <v>42495</v>
      </c>
      <c r="B26" s="672" t="str">
        <f ca="1">IF(ROWS($1:11)&gt;COUNT(Dong9),"",OFFSET(TH!D$1,SMALL(Dong9,ROWS($1:11)),))</f>
        <v>NL/X</v>
      </c>
      <c r="C26" s="672">
        <f ca="1">IF(ROWS($1:11)&gt;COUNT(Dong9),"",OFFSET(TH!E$1,SMALL(Dong9,ROWS($1:11)),))</f>
        <v>42495</v>
      </c>
      <c r="D26" s="673" t="str">
        <f ca="1">IF(ROWS($1:11)&gt;COUNT(Dong9),"",OFFSET(TH!F$1,SMALL(Dong9,ROWS($1:11)),))</f>
        <v>Giấy cuộn</v>
      </c>
      <c r="E26" s="672" t="str">
        <f ca="1">IF(ROWS($1:11)&gt;COUNT(Dong9),"",OFFSET(TH!M$1,SMALL(Dong9,ROWS($1:11)),))</f>
        <v>1521</v>
      </c>
      <c r="F26" s="674">
        <f ca="1">IF(ROWS($1:11)&gt;COUNT(Dong9),"",OFFSET(TH!K$1,SMALL(Dong9,ROWS($1:11)),))</f>
        <v>50122000</v>
      </c>
      <c r="G26" s="674">
        <f t="shared" ca="1" si="0"/>
        <v>50122000</v>
      </c>
      <c r="H26" s="674">
        <f t="shared" ca="1" si="1"/>
        <v>0</v>
      </c>
      <c r="I26" s="674">
        <f t="shared" ca="1" si="2"/>
        <v>0</v>
      </c>
      <c r="J26" s="674">
        <f t="shared" ca="1" si="3"/>
        <v>0</v>
      </c>
      <c r="K26" s="674">
        <f t="shared" ca="1" si="4"/>
        <v>0</v>
      </c>
      <c r="L26" s="674">
        <f t="shared" ca="1" si="5"/>
        <v>0</v>
      </c>
      <c r="M26" s="674">
        <f t="shared" ca="1" si="6"/>
        <v>0</v>
      </c>
    </row>
    <row r="27" spans="1:13" ht="22.5" customHeight="1">
      <c r="A27" s="672">
        <f ca="1">IF(ROWS($1:12)&gt;COUNT(Dong9),"",OFFSET(TH!C$1,SMALL(Dong9,ROWS($1:12)),))</f>
        <v>42461</v>
      </c>
      <c r="B27" s="672" t="str">
        <f ca="1">IF(ROWS($1:12)&gt;COUNT(Dong9),"",OFFSET(TH!D$1,SMALL(Dong9,ROWS($1:12)),))</f>
        <v>NL/X</v>
      </c>
      <c r="C27" s="672">
        <f ca="1">IF(ROWS($1:12)&gt;COUNT(Dong9),"",OFFSET(TH!E$1,SMALL(Dong9,ROWS($1:12)),))</f>
        <v>42461</v>
      </c>
      <c r="D27" s="673" t="str">
        <f ca="1">IF(ROWS($1:12)&gt;COUNT(Dong9),"",OFFSET(TH!F$1,SMALL(Dong9,ROWS($1:12)),))</f>
        <v>Giấy xeo gia keo</v>
      </c>
      <c r="E27" s="672" t="str">
        <f ca="1">IF(ROWS($1:12)&gt;COUNT(Dong9),"",OFFSET(TH!M$1,SMALL(Dong9,ROWS($1:12)),))</f>
        <v>1521</v>
      </c>
      <c r="F27" s="674">
        <f ca="1">IF(ROWS($1:12)&gt;COUNT(Dong9),"",OFFSET(TH!K$1,SMALL(Dong9,ROWS($1:12)),))</f>
        <v>158592600</v>
      </c>
      <c r="G27" s="674">
        <f t="shared" ca="1" si="0"/>
        <v>158592600</v>
      </c>
      <c r="H27" s="674">
        <f t="shared" ca="1" si="1"/>
        <v>0</v>
      </c>
      <c r="I27" s="674">
        <f t="shared" ca="1" si="2"/>
        <v>0</v>
      </c>
      <c r="J27" s="674">
        <f t="shared" ca="1" si="3"/>
        <v>0</v>
      </c>
      <c r="K27" s="674">
        <f t="shared" ca="1" si="4"/>
        <v>0</v>
      </c>
      <c r="L27" s="674">
        <f t="shared" ca="1" si="5"/>
        <v>0</v>
      </c>
      <c r="M27" s="674">
        <f t="shared" ca="1" si="6"/>
        <v>0</v>
      </c>
    </row>
    <row r="28" spans="1:13" ht="22.5" customHeight="1">
      <c r="A28" s="672">
        <f ca="1">IF(ROWS($1:13)&gt;COUNT(Dong9),"",OFFSET(TH!C$1,SMALL(Dong9,ROWS($1:13)),))</f>
        <v>42464</v>
      </c>
      <c r="B28" s="672" t="str">
        <f ca="1">IF(ROWS($1:13)&gt;COUNT(Dong9),"",OFFSET(TH!D$1,SMALL(Dong9,ROWS($1:13)),))</f>
        <v>NL/X</v>
      </c>
      <c r="C28" s="672">
        <f ca="1">IF(ROWS($1:13)&gt;COUNT(Dong9),"",OFFSET(TH!E$1,SMALL(Dong9,ROWS($1:13)),))</f>
        <v>42464</v>
      </c>
      <c r="D28" s="673" t="str">
        <f ca="1">IF(ROWS($1:13)&gt;COUNT(Dong9),"",OFFSET(TH!F$1,SMALL(Dong9,ROWS($1:13)),))</f>
        <v>Giấy 2 da</v>
      </c>
      <c r="E28" s="672" t="str">
        <f ca="1">IF(ROWS($1:13)&gt;COUNT(Dong9),"",OFFSET(TH!M$1,SMALL(Dong9,ROWS($1:13)),))</f>
        <v>1521</v>
      </c>
      <c r="F28" s="674">
        <f ca="1">IF(ROWS($1:13)&gt;COUNT(Dong9),"",OFFSET(TH!K$1,SMALL(Dong9,ROWS($1:13)),))</f>
        <v>65637000</v>
      </c>
      <c r="G28" s="674">
        <f t="shared" ca="1" si="0"/>
        <v>65637000</v>
      </c>
      <c r="H28" s="674">
        <f t="shared" ca="1" si="1"/>
        <v>0</v>
      </c>
      <c r="I28" s="674">
        <f t="shared" ca="1" si="2"/>
        <v>0</v>
      </c>
      <c r="J28" s="674">
        <f t="shared" ca="1" si="3"/>
        <v>0</v>
      </c>
      <c r="K28" s="674">
        <f t="shared" ca="1" si="4"/>
        <v>0</v>
      </c>
      <c r="L28" s="674">
        <f t="shared" ca="1" si="5"/>
        <v>0</v>
      </c>
      <c r="M28" s="674">
        <f t="shared" ca="1" si="6"/>
        <v>0</v>
      </c>
    </row>
    <row r="29" spans="1:13" ht="22.5" customHeight="1">
      <c r="A29" s="672">
        <f ca="1">IF(ROWS($1:14)&gt;COUNT(Dong9),"",OFFSET(TH!C$1,SMALL(Dong9,ROWS($1:14)),))</f>
        <v>42497</v>
      </c>
      <c r="B29" s="672" t="str">
        <f ca="1">IF(ROWS($1:14)&gt;COUNT(Dong9),"",OFFSET(TH!D$1,SMALL(Dong9,ROWS($1:14)),))</f>
        <v>NL/X</v>
      </c>
      <c r="C29" s="672">
        <f ca="1">IF(ROWS($1:14)&gt;COUNT(Dong9),"",OFFSET(TH!E$1,SMALL(Dong9,ROWS($1:14)),))</f>
        <v>42497</v>
      </c>
      <c r="D29" s="673" t="str">
        <f ca="1">IF(ROWS($1:14)&gt;COUNT(Dong9),"",OFFSET(TH!F$1,SMALL(Dong9,ROWS($1:14)),))</f>
        <v>Giấy xeo gia keo</v>
      </c>
      <c r="E29" s="672" t="str">
        <f ca="1">IF(ROWS($1:14)&gt;COUNT(Dong9),"",OFFSET(TH!M$1,SMALL(Dong9,ROWS($1:14)),))</f>
        <v>1521</v>
      </c>
      <c r="F29" s="674">
        <f ca="1">IF(ROWS($1:14)&gt;COUNT(Dong9),"",OFFSET(TH!K$1,SMALL(Dong9,ROWS($1:14)),))</f>
        <v>12960000</v>
      </c>
      <c r="G29" s="674">
        <f t="shared" ca="1" si="0"/>
        <v>12960000</v>
      </c>
      <c r="H29" s="674">
        <f t="shared" ca="1" si="1"/>
        <v>0</v>
      </c>
      <c r="I29" s="674">
        <f t="shared" ca="1" si="2"/>
        <v>0</v>
      </c>
      <c r="J29" s="674">
        <f t="shared" ca="1" si="3"/>
        <v>0</v>
      </c>
      <c r="K29" s="674">
        <f t="shared" ca="1" si="4"/>
        <v>0</v>
      </c>
      <c r="L29" s="674">
        <f t="shared" ca="1" si="5"/>
        <v>0</v>
      </c>
      <c r="M29" s="674">
        <f t="shared" ca="1" si="6"/>
        <v>0</v>
      </c>
    </row>
    <row r="30" spans="1:13" ht="22.5" customHeight="1">
      <c r="A30" s="672">
        <f ca="1">IF(ROWS($1:15)&gt;COUNT(Dong9),"",OFFSET(TH!C$1,SMALL(Dong9,ROWS($1:15)),))</f>
        <v>42497</v>
      </c>
      <c r="B30" s="672" t="str">
        <f ca="1">IF(ROWS($1:15)&gt;COUNT(Dong9),"",OFFSET(TH!D$1,SMALL(Dong9,ROWS($1:15)),))</f>
        <v>NL/X</v>
      </c>
      <c r="C30" s="672">
        <f ca="1">IF(ROWS($1:15)&gt;COUNT(Dong9),"",OFFSET(TH!E$1,SMALL(Dong9,ROWS($1:15)),))</f>
        <v>42497</v>
      </c>
      <c r="D30" s="673" t="str">
        <f ca="1">IF(ROWS($1:15)&gt;COUNT(Dong9),"",OFFSET(TH!F$1,SMALL(Dong9,ROWS($1:15)),))</f>
        <v>Giấy xeo gia keo</v>
      </c>
      <c r="E30" s="672" t="str">
        <f ca="1">IF(ROWS($1:15)&gt;COUNT(Dong9),"",OFFSET(TH!M$1,SMALL(Dong9,ROWS($1:15)),))</f>
        <v>1521</v>
      </c>
      <c r="F30" s="674">
        <f ca="1">IF(ROWS($1:15)&gt;COUNT(Dong9),"",OFFSET(TH!K$1,SMALL(Dong9,ROWS($1:15)),))</f>
        <v>14637600</v>
      </c>
      <c r="G30" s="674">
        <f t="shared" ca="1" si="0"/>
        <v>14637600</v>
      </c>
      <c r="H30" s="674">
        <f t="shared" ca="1" si="1"/>
        <v>0</v>
      </c>
      <c r="I30" s="674">
        <f t="shared" ca="1" si="2"/>
        <v>0</v>
      </c>
      <c r="J30" s="674">
        <f t="shared" ca="1" si="3"/>
        <v>0</v>
      </c>
      <c r="K30" s="674">
        <f t="shared" ca="1" si="4"/>
        <v>0</v>
      </c>
      <c r="L30" s="674">
        <f t="shared" ca="1" si="5"/>
        <v>0</v>
      </c>
      <c r="M30" s="674">
        <f t="shared" ca="1" si="6"/>
        <v>0</v>
      </c>
    </row>
    <row r="31" spans="1:13" ht="22.5" customHeight="1">
      <c r="A31" s="672">
        <f ca="1">IF(ROWS($1:16)&gt;COUNT(Dong9),"",OFFSET(TH!C$1,SMALL(Dong9,ROWS($1:16)),))</f>
        <v>42535</v>
      </c>
      <c r="B31" s="672" t="str">
        <f ca="1">IF(ROWS($1:16)&gt;COUNT(Dong9),"",OFFSET(TH!D$1,SMALL(Dong9,ROWS($1:16)),))</f>
        <v>NL/X</v>
      </c>
      <c r="C31" s="672">
        <f ca="1">IF(ROWS($1:16)&gt;COUNT(Dong9),"",OFFSET(TH!E$1,SMALL(Dong9,ROWS($1:16)),))</f>
        <v>42535</v>
      </c>
      <c r="D31" s="673" t="str">
        <f ca="1">IF(ROWS($1:16)&gt;COUNT(Dong9),"",OFFSET(TH!F$1,SMALL(Dong9,ROWS($1:16)),))</f>
        <v>Giấy xeo</v>
      </c>
      <c r="E31" s="672" t="str">
        <f ca="1">IF(ROWS($1:16)&gt;COUNT(Dong9),"",OFFSET(TH!M$1,SMALL(Dong9,ROWS($1:16)),))</f>
        <v>1521</v>
      </c>
      <c r="F31" s="674">
        <f ca="1">IF(ROWS($1:16)&gt;COUNT(Dong9),"",OFFSET(TH!K$1,SMALL(Dong9,ROWS($1:16)),))</f>
        <v>271231400</v>
      </c>
      <c r="G31" s="674">
        <f t="shared" ca="1" si="0"/>
        <v>271231400</v>
      </c>
      <c r="H31" s="674">
        <f t="shared" ca="1" si="1"/>
        <v>0</v>
      </c>
      <c r="I31" s="674">
        <f t="shared" ca="1" si="2"/>
        <v>0</v>
      </c>
      <c r="J31" s="674">
        <f t="shared" ca="1" si="3"/>
        <v>0</v>
      </c>
      <c r="K31" s="674">
        <f t="shared" ca="1" si="4"/>
        <v>0</v>
      </c>
      <c r="L31" s="674">
        <f t="shared" ca="1" si="5"/>
        <v>0</v>
      </c>
      <c r="M31" s="674">
        <f t="shared" ca="1" si="6"/>
        <v>0</v>
      </c>
    </row>
    <row r="32" spans="1:13" ht="22.5" customHeight="1">
      <c r="A32" s="672">
        <f ca="1">IF(ROWS($1:17)&gt;COUNT(Dong9),"",OFFSET(TH!C$1,SMALL(Dong9,ROWS($1:17)),))</f>
        <v>42535</v>
      </c>
      <c r="B32" s="672" t="str">
        <f ca="1">IF(ROWS($1:17)&gt;COUNT(Dong9),"",OFFSET(TH!D$1,SMALL(Dong9,ROWS($1:17)),))</f>
        <v>NL/X</v>
      </c>
      <c r="C32" s="672">
        <f ca="1">IF(ROWS($1:17)&gt;COUNT(Dong9),"",OFFSET(TH!E$1,SMALL(Dong9,ROWS($1:17)),))</f>
        <v>42535</v>
      </c>
      <c r="D32" s="673" t="str">
        <f ca="1">IF(ROWS($1:17)&gt;COUNT(Dong9),"",OFFSET(TH!F$1,SMALL(Dong9,ROWS($1:17)),))</f>
        <v>Giấy 2 da</v>
      </c>
      <c r="E32" s="672" t="str">
        <f ca="1">IF(ROWS($1:17)&gt;COUNT(Dong9),"",OFFSET(TH!M$1,SMALL(Dong9,ROWS($1:17)),))</f>
        <v>1521</v>
      </c>
      <c r="F32" s="674">
        <f ca="1">IF(ROWS($1:17)&gt;COUNT(Dong9),"",OFFSET(TH!K$1,SMALL(Dong9,ROWS($1:17)),))</f>
        <v>46809000</v>
      </c>
      <c r="G32" s="674">
        <f t="shared" ca="1" si="0"/>
        <v>46809000</v>
      </c>
      <c r="H32" s="674">
        <f t="shared" ca="1" si="1"/>
        <v>0</v>
      </c>
      <c r="I32" s="674">
        <f t="shared" ca="1" si="2"/>
        <v>0</v>
      </c>
      <c r="J32" s="674">
        <f t="shared" ca="1" si="3"/>
        <v>0</v>
      </c>
      <c r="K32" s="674">
        <f t="shared" ca="1" si="4"/>
        <v>0</v>
      </c>
      <c r="L32" s="674">
        <f t="shared" ca="1" si="5"/>
        <v>0</v>
      </c>
      <c r="M32" s="674">
        <f t="shared" ca="1" si="6"/>
        <v>0</v>
      </c>
    </row>
    <row r="33" spans="1:13" ht="22.5" customHeight="1">
      <c r="A33" s="672">
        <f ca="1">IF(ROWS($1:18)&gt;COUNT(Dong9),"",OFFSET(TH!C$1,SMALL(Dong9,ROWS($1:18)),))</f>
        <v>42522</v>
      </c>
      <c r="B33" s="672" t="str">
        <f ca="1">IF(ROWS($1:18)&gt;COUNT(Dong9),"",OFFSET(TH!D$1,SMALL(Dong9,ROWS($1:18)),))</f>
        <v>NL/X</v>
      </c>
      <c r="C33" s="672">
        <f ca="1">IF(ROWS($1:18)&gt;COUNT(Dong9),"",OFFSET(TH!E$1,SMALL(Dong9,ROWS($1:18)),))</f>
        <v>42522</v>
      </c>
      <c r="D33" s="673" t="str">
        <f ca="1">IF(ROWS($1:18)&gt;COUNT(Dong9),"",OFFSET(TH!F$1,SMALL(Dong9,ROWS($1:18)),))</f>
        <v>Giấy cuộn</v>
      </c>
      <c r="E33" s="672" t="str">
        <f ca="1">IF(ROWS($1:18)&gt;COUNT(Dong9),"",OFFSET(TH!M$1,SMALL(Dong9,ROWS($1:18)),))</f>
        <v>1521</v>
      </c>
      <c r="F33" s="674">
        <f ca="1">IF(ROWS($1:18)&gt;COUNT(Dong9),"",OFFSET(TH!K$1,SMALL(Dong9,ROWS($1:18)),))</f>
        <v>38000000</v>
      </c>
      <c r="G33" s="674">
        <f t="shared" ca="1" si="0"/>
        <v>38000000</v>
      </c>
      <c r="H33" s="674">
        <f t="shared" ca="1" si="1"/>
        <v>0</v>
      </c>
      <c r="I33" s="674">
        <f t="shared" ca="1" si="2"/>
        <v>0</v>
      </c>
      <c r="J33" s="674">
        <f t="shared" ca="1" si="3"/>
        <v>0</v>
      </c>
      <c r="K33" s="674">
        <f t="shared" ca="1" si="4"/>
        <v>0</v>
      </c>
      <c r="L33" s="674">
        <f t="shared" ca="1" si="5"/>
        <v>0</v>
      </c>
      <c r="M33" s="674">
        <f t="shared" ca="1" si="6"/>
        <v>0</v>
      </c>
    </row>
    <row r="34" spans="1:13" ht="22.5" customHeight="1">
      <c r="A34" s="672"/>
      <c r="B34" s="675"/>
      <c r="C34" s="672"/>
      <c r="D34" s="676"/>
      <c r="E34" s="677"/>
      <c r="F34" s="678"/>
      <c r="G34" s="678"/>
      <c r="H34" s="678"/>
      <c r="I34" s="678"/>
      <c r="J34" s="678"/>
      <c r="K34" s="678"/>
      <c r="L34" s="678"/>
      <c r="M34" s="678"/>
    </row>
    <row r="35" spans="1:13" ht="22.5" customHeight="1">
      <c r="A35" s="672"/>
      <c r="B35" s="675"/>
      <c r="C35" s="672"/>
      <c r="D35" s="670" t="s">
        <v>133</v>
      </c>
      <c r="E35" s="669" t="s">
        <v>19</v>
      </c>
      <c r="F35" s="671">
        <f t="shared" ref="F35:M35" ca="1" si="7">SUM(F15:F34)</f>
        <v>766898730</v>
      </c>
      <c r="G35" s="671">
        <f t="shared" ca="1" si="7"/>
        <v>666849980</v>
      </c>
      <c r="H35" s="671">
        <f t="shared" ca="1" si="7"/>
        <v>15048750</v>
      </c>
      <c r="I35" s="671">
        <f t="shared" ca="1" si="7"/>
        <v>6580000</v>
      </c>
      <c r="J35" s="671">
        <f t="shared" ca="1" si="7"/>
        <v>48420000</v>
      </c>
      <c r="K35" s="671">
        <f t="shared" ca="1" si="7"/>
        <v>0</v>
      </c>
      <c r="L35" s="671">
        <f t="shared" ca="1" si="7"/>
        <v>0</v>
      </c>
      <c r="M35" s="671">
        <f t="shared" ca="1" si="7"/>
        <v>30000000</v>
      </c>
    </row>
    <row r="36" spans="1:13" ht="22.5" customHeight="1">
      <c r="A36" s="679"/>
      <c r="B36" s="677"/>
      <c r="C36" s="679"/>
      <c r="D36" s="680" t="s">
        <v>393</v>
      </c>
      <c r="E36" s="675"/>
      <c r="F36" s="681">
        <f ca="1">SUM(G36:M36)</f>
        <v>766898730</v>
      </c>
      <c r="G36" s="681">
        <f t="shared" ref="G36:M36" ca="1" si="8">G35</f>
        <v>666849980</v>
      </c>
      <c r="H36" s="681">
        <f t="shared" ca="1" si="8"/>
        <v>15048750</v>
      </c>
      <c r="I36" s="681">
        <f t="shared" ref="I36" ca="1" si="9">I35</f>
        <v>6580000</v>
      </c>
      <c r="J36" s="681">
        <f t="shared" ca="1" si="8"/>
        <v>48420000</v>
      </c>
      <c r="K36" s="681">
        <f t="shared" ca="1" si="8"/>
        <v>0</v>
      </c>
      <c r="L36" s="681">
        <f t="shared" ref="L36" ca="1" si="10">L35</f>
        <v>0</v>
      </c>
      <c r="M36" s="681">
        <f t="shared" ca="1" si="8"/>
        <v>30000000</v>
      </c>
    </row>
    <row r="37" spans="1:13" ht="22.5" customHeight="1">
      <c r="A37" s="682"/>
      <c r="B37" s="682"/>
      <c r="C37" s="682"/>
      <c r="D37" s="683" t="s">
        <v>10</v>
      </c>
      <c r="E37" s="682" t="s">
        <v>19</v>
      </c>
      <c r="F37" s="684">
        <f t="shared" ref="F37:M37" ca="1" si="11">F15+F35-F36</f>
        <v>0</v>
      </c>
      <c r="G37" s="684">
        <f t="shared" ca="1" si="11"/>
        <v>0</v>
      </c>
      <c r="H37" s="684">
        <f t="shared" ca="1" si="11"/>
        <v>0</v>
      </c>
      <c r="I37" s="684">
        <f t="shared" ca="1" si="11"/>
        <v>0</v>
      </c>
      <c r="J37" s="684">
        <f t="shared" ca="1" si="11"/>
        <v>0</v>
      </c>
      <c r="K37" s="684">
        <f t="shared" ca="1" si="11"/>
        <v>0</v>
      </c>
      <c r="L37" s="684">
        <f t="shared" ca="1" si="11"/>
        <v>0</v>
      </c>
      <c r="M37" s="684">
        <f t="shared" ca="1" si="11"/>
        <v>0</v>
      </c>
    </row>
    <row r="39" spans="1:13">
      <c r="B39" s="685"/>
      <c r="C39" s="665" t="s">
        <v>394</v>
      </c>
    </row>
    <row r="40" spans="1:13">
      <c r="C40" s="665" t="str">
        <f ca="1">"Ngày mở sổ: "&amp;"01/"&amp;MONTH(A16)&amp;"/ "&amp;YEAR(A16)</f>
        <v>Ngày mở sổ: 01/4/ 2016</v>
      </c>
    </row>
    <row r="41" spans="1:13">
      <c r="E41" s="664"/>
      <c r="F41" s="664"/>
      <c r="G41" s="664"/>
      <c r="H41" s="664"/>
      <c r="I41" s="664"/>
      <c r="J41" s="114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7"/>
      <c r="L41" s="1147"/>
      <c r="M41" s="1147"/>
    </row>
    <row r="42" spans="1:13">
      <c r="B42" s="664"/>
      <c r="C42" s="661" t="s">
        <v>11</v>
      </c>
      <c r="D42" s="664"/>
      <c r="E42" s="664"/>
      <c r="F42" s="664"/>
      <c r="G42" s="664"/>
      <c r="H42" s="664"/>
      <c r="I42" s="664"/>
      <c r="J42" s="1147" t="s">
        <v>12</v>
      </c>
      <c r="K42" s="1147"/>
      <c r="L42" s="1147"/>
      <c r="M42" s="1147"/>
    </row>
    <row r="43" spans="1:13">
      <c r="B43" s="664"/>
      <c r="C43" s="661" t="s">
        <v>13</v>
      </c>
      <c r="D43" s="664"/>
      <c r="E43" s="664"/>
      <c r="F43" s="664"/>
      <c r="G43" s="664"/>
      <c r="H43" s="664"/>
      <c r="I43" s="664"/>
      <c r="J43" s="664"/>
      <c r="K43" s="664" t="s">
        <v>13</v>
      </c>
      <c r="L43" s="664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1" customWidth="1"/>
    <col min="2" max="2" width="8.85546875" style="661" customWidth="1"/>
    <col min="3" max="3" width="10.5703125" style="661" customWidth="1"/>
    <col min="4" max="4" width="31.85546875" style="661" customWidth="1"/>
    <col min="5" max="5" width="10.28515625" style="661" customWidth="1"/>
    <col min="6" max="6" width="15.28515625" style="661" customWidth="1"/>
    <col min="7" max="7" width="9.42578125" style="661" customWidth="1"/>
    <col min="8" max="8" width="15.140625" style="661" customWidth="1"/>
    <col min="9" max="9" width="9.140625" style="661"/>
    <col min="10" max="10" width="16.28515625" style="661" customWidth="1"/>
    <col min="11" max="11" width="6" style="661" customWidth="1"/>
    <col min="12" max="16384" width="9.140625" style="661"/>
  </cols>
  <sheetData>
    <row r="2" spans="1:13">
      <c r="A2" s="660" t="str">
        <f>'154'!A2</f>
        <v>Đơn vị: CÔNG TY TNHH SX TM KIM DUNG PHÁT</v>
      </c>
      <c r="F2" s="662"/>
      <c r="G2" s="1192" t="s">
        <v>381</v>
      </c>
      <c r="H2" s="1192"/>
      <c r="I2" s="1192"/>
      <c r="J2" s="1192"/>
    </row>
    <row r="3" spans="1:13" ht="15" customHeight="1">
      <c r="A3" s="690" t="str">
        <f>'154'!A3</f>
        <v>Địa chỉ: 1A227/1 Ấp 1, Phạm Văn Hai, Bình Chánh, TPHCM</v>
      </c>
      <c r="G3" s="119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5"/>
      <c r="I3" s="1195"/>
      <c r="J3" s="1195"/>
    </row>
    <row r="4" spans="1:13">
      <c r="G4" s="1195"/>
      <c r="H4" s="1195"/>
      <c r="I4" s="1195"/>
      <c r="J4" s="1195"/>
    </row>
    <row r="5" spans="1:13" ht="27" customHeight="1">
      <c r="A5" s="1193" t="s">
        <v>382</v>
      </c>
      <c r="B5" s="1193"/>
      <c r="C5" s="1193"/>
      <c r="D5" s="1193"/>
      <c r="E5" s="1193"/>
      <c r="F5" s="1193"/>
      <c r="G5" s="1193"/>
      <c r="H5" s="1193"/>
      <c r="I5" s="1193"/>
      <c r="J5" s="1193"/>
      <c r="K5" s="663" t="s">
        <v>172</v>
      </c>
      <c r="L5" s="595">
        <f>IF(L13="Quý I",1,IF(L13="Quý II",4,IF(L13="Quý III",7,IF(L13="Quý IV",10,""))))</f>
        <v>4</v>
      </c>
      <c r="M5" s="595">
        <f>IF(L13="Quý I",3,IF(L13="Quý II",6,IF(L13="Quý III",9,IF(L13="Quý IV",12,""))))</f>
        <v>6</v>
      </c>
    </row>
    <row r="6" spans="1:13">
      <c r="A6" s="1194" t="s">
        <v>383</v>
      </c>
      <c r="B6" s="1194"/>
      <c r="C6" s="1194"/>
      <c r="D6" s="1194"/>
      <c r="E6" s="1194"/>
      <c r="F6" s="1194"/>
      <c r="G6" s="1194"/>
      <c r="H6" s="1194"/>
      <c r="I6" s="1194"/>
      <c r="J6" s="1194"/>
    </row>
    <row r="7" spans="1:13">
      <c r="B7" s="664"/>
      <c r="C7" s="664"/>
      <c r="D7" s="664"/>
      <c r="E7" s="665" t="s">
        <v>395</v>
      </c>
      <c r="G7" s="664"/>
      <c r="H7" s="664"/>
      <c r="I7" s="664"/>
      <c r="J7" s="664"/>
    </row>
    <row r="8" spans="1:13">
      <c r="B8" s="664"/>
      <c r="C8" s="664"/>
      <c r="D8" s="664"/>
      <c r="E8" s="665" t="s">
        <v>385</v>
      </c>
      <c r="G8" s="664"/>
      <c r="H8" s="664"/>
      <c r="I8" s="664"/>
      <c r="J8" s="664"/>
    </row>
    <row r="9" spans="1:13">
      <c r="B9" s="666"/>
      <c r="C9" s="666"/>
      <c r="D9" s="666"/>
      <c r="E9" s="665" t="s">
        <v>386</v>
      </c>
      <c r="G9" s="666"/>
      <c r="H9" s="666"/>
      <c r="I9" s="666"/>
      <c r="J9" s="666"/>
    </row>
    <row r="10" spans="1:13" ht="9.75" customHeight="1">
      <c r="C10" s="1191"/>
      <c r="D10" s="1191"/>
      <c r="E10" s="1191"/>
      <c r="F10" s="1191"/>
      <c r="G10" s="1191"/>
      <c r="H10" s="1191"/>
      <c r="I10" s="1191"/>
      <c r="J10" s="1191"/>
    </row>
    <row r="11" spans="1:13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396</v>
      </c>
      <c r="G11" s="1189"/>
      <c r="H11" s="1189"/>
      <c r="I11" s="1189"/>
      <c r="J11" s="1189"/>
    </row>
    <row r="12" spans="1:13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388</v>
      </c>
      <c r="G12" s="1190" t="s">
        <v>389</v>
      </c>
      <c r="H12" s="1190"/>
      <c r="I12" s="1190"/>
      <c r="J12" s="1190"/>
    </row>
    <row r="13" spans="1:13" ht="30.75" customHeight="1" thickBot="1">
      <c r="A13" s="1188"/>
      <c r="B13" s="1190"/>
      <c r="C13" s="1190"/>
      <c r="D13" s="1188"/>
      <c r="E13" s="1188"/>
      <c r="F13" s="1190"/>
      <c r="G13" s="667">
        <v>154</v>
      </c>
      <c r="H13" s="667">
        <v>155</v>
      </c>
      <c r="I13" s="667">
        <v>156</v>
      </c>
      <c r="J13" s="667">
        <v>157</v>
      </c>
      <c r="L13" s="689" t="s">
        <v>355</v>
      </c>
    </row>
    <row r="14" spans="1:13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</row>
    <row r="15" spans="1:13" ht="20.2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</row>
    <row r="16" spans="1:13" ht="20.25" customHeight="1">
      <c r="A16" s="672">
        <f ca="1">IF(ROWS($1:1)&gt;COUNT(Dong8),"",OFFSET(TH!C$1,SMALL(Dong8,ROWS($1:1)),))</f>
        <v>42473</v>
      </c>
      <c r="B16" s="672" t="str">
        <f ca="1">IF(ROWS($1:1)&gt;COUNT(Dong8),"",OFFSET(TH!D$1,SMALL(Dong8,ROWS($1:1)),))</f>
        <v>NL/X</v>
      </c>
      <c r="C16" s="672">
        <f ca="1">IF(ROWS($1:1)&gt;COUNT(Dong8),"",OFFSET(TH!E$1,SMALL(Dong8,ROWS($1:1)),))</f>
        <v>42473</v>
      </c>
      <c r="D16" s="673" t="str">
        <f ca="1">IF(ROWS($1:1)&gt;COUNT(Dong8),"",OFFSET(TH!F$1,SMALL(Dong8,ROWS($1:1)),))</f>
        <v>Giấy 2 da</v>
      </c>
      <c r="E16" s="672" t="str">
        <f ca="1">IF(ROWS($1:1)&gt;COUNT(Dong8),"",OFFSET(TH!M$1,SMALL(Dong8,ROWS($1:1)),))</f>
        <v>1521</v>
      </c>
      <c r="F16" s="674">
        <f ca="1">IF(ROWS($1:1)&gt;COUNT(Dong8),"",OFFSET(TH!K$1,SMALL(Dong8,ROWS($1:1)),))</f>
        <v>13860000</v>
      </c>
      <c r="G16" s="674">
        <f ca="1">IF($E16="154",$F16,0)</f>
        <v>0</v>
      </c>
      <c r="H16" s="674">
        <f ca="1">IF($E16="155",$F16,0)</f>
        <v>0</v>
      </c>
      <c r="I16" s="674">
        <f ca="1">IF($E16="156",$F16,0)</f>
        <v>0</v>
      </c>
      <c r="J16" s="674">
        <f ca="1">IF($E16="157",$F16,0)</f>
        <v>0</v>
      </c>
    </row>
    <row r="17" spans="1:10" ht="20.25" customHeight="1">
      <c r="A17" s="672">
        <f ca="1">IF(ROWS($1:2)&gt;COUNT(Dong8),"",OFFSET(TH!C$1,SMALL(Dong8,ROWS($1:2)),))</f>
        <v>42496</v>
      </c>
      <c r="B17" s="672" t="str">
        <f ca="1">IF(ROWS($1:2)&gt;COUNT(Dong8),"",OFFSET(TH!D$1,SMALL(Dong8,ROWS($1:2)),))</f>
        <v>NL/X</v>
      </c>
      <c r="C17" s="672">
        <f ca="1">IF(ROWS($1:2)&gt;COUNT(Dong8),"",OFFSET(TH!E$1,SMALL(Dong8,ROWS($1:2)),))</f>
        <v>42496</v>
      </c>
      <c r="D17" s="673" t="str">
        <f ca="1">IF(ROWS($1:2)&gt;COUNT(Dong8),"",OFFSET(TH!F$1,SMALL(Dong8,ROWS($1:2)),))</f>
        <v>Giấy 2 da</v>
      </c>
      <c r="E17" s="672" t="str">
        <f ca="1">IF(ROWS($1:2)&gt;COUNT(Dong8),"",OFFSET(TH!M$1,SMALL(Dong8,ROWS($1:2)),))</f>
        <v>1521</v>
      </c>
      <c r="F17" s="674">
        <f ca="1">IF(ROWS($1:2)&gt;COUNT(Dong8),"",OFFSET(TH!K$1,SMALL(Dong8,ROWS($1:2)),))</f>
        <v>1800000</v>
      </c>
      <c r="G17" s="674">
        <f t="shared" ref="G17:G20" ca="1" si="0">IF($E17="154",$F17,0)</f>
        <v>0</v>
      </c>
      <c r="H17" s="674">
        <f t="shared" ref="H17:H20" ca="1" si="1">IF($E17="155",$F17,0)</f>
        <v>0</v>
      </c>
      <c r="I17" s="674">
        <f t="shared" ref="I17:I20" ca="1" si="2">IF($E17="156",$F17,0)</f>
        <v>0</v>
      </c>
      <c r="J17" s="674">
        <f t="shared" ref="J17:J20" ca="1" si="3">IF($E17="157",$F17,0)</f>
        <v>0</v>
      </c>
    </row>
    <row r="18" spans="1:10" ht="20.25" customHeight="1">
      <c r="A18" s="672">
        <f ca="1">IF(ROWS($1:3)&gt;COUNT(Dong8),"",OFFSET(TH!C$1,SMALL(Dong8,ROWS($1:3)),))</f>
        <v>42503</v>
      </c>
      <c r="B18" s="672" t="str">
        <f ca="1">IF(ROWS($1:3)&gt;COUNT(Dong8),"",OFFSET(TH!D$1,SMALL(Dong8,ROWS($1:3)),))</f>
        <v>NL/X</v>
      </c>
      <c r="C18" s="672">
        <f ca="1">IF(ROWS($1:3)&gt;COUNT(Dong8),"",OFFSET(TH!E$1,SMALL(Dong8,ROWS($1:3)),))</f>
        <v>42503</v>
      </c>
      <c r="D18" s="673" t="str">
        <f ca="1">IF(ROWS($1:3)&gt;COUNT(Dong8),"",OFFSET(TH!F$1,SMALL(Dong8,ROWS($1:3)),))</f>
        <v>Giấy 2 da</v>
      </c>
      <c r="E18" s="672" t="str">
        <f ca="1">IF(ROWS($1:3)&gt;COUNT(Dong8),"",OFFSET(TH!M$1,SMALL(Dong8,ROWS($1:3)),))</f>
        <v>1521</v>
      </c>
      <c r="F18" s="674">
        <f ca="1">IF(ROWS($1:3)&gt;COUNT(Dong8),"",OFFSET(TH!K$1,SMALL(Dong8,ROWS($1:3)),))</f>
        <v>14094000</v>
      </c>
      <c r="G18" s="674">
        <f t="shared" ca="1" si="0"/>
        <v>0</v>
      </c>
      <c r="H18" s="674">
        <f t="shared" ca="1" si="1"/>
        <v>0</v>
      </c>
      <c r="I18" s="674">
        <f t="shared" ca="1" si="2"/>
        <v>0</v>
      </c>
      <c r="J18" s="674">
        <f t="shared" ca="1" si="3"/>
        <v>0</v>
      </c>
    </row>
    <row r="19" spans="1:10" ht="20.25" customHeight="1">
      <c r="A19" s="672">
        <f ca="1">IF(ROWS($1:4)&gt;COUNT(Dong8),"",OFFSET(TH!C$1,SMALL(Dong8,ROWS($1:4)),))</f>
        <v>42545</v>
      </c>
      <c r="B19" s="672" t="str">
        <f ca="1">IF(ROWS($1:4)&gt;COUNT(Dong8),"",OFFSET(TH!D$1,SMALL(Dong8,ROWS($1:4)),))</f>
        <v>NL/X</v>
      </c>
      <c r="C19" s="672">
        <f ca="1">IF(ROWS($1:4)&gt;COUNT(Dong8),"",OFFSET(TH!E$1,SMALL(Dong8,ROWS($1:4)),))</f>
        <v>42545</v>
      </c>
      <c r="D19" s="673" t="str">
        <f ca="1">IF(ROWS($1:4)&gt;COUNT(Dong8),"",OFFSET(TH!F$1,SMALL(Dong8,ROWS($1:4)),))</f>
        <v>Giấy 2 da</v>
      </c>
      <c r="E19" s="672" t="str">
        <f ca="1">IF(ROWS($1:4)&gt;COUNT(Dong8),"",OFFSET(TH!M$1,SMALL(Dong8,ROWS($1:4)),))</f>
        <v>1521</v>
      </c>
      <c r="F19" s="674">
        <f ca="1">IF(ROWS($1:4)&gt;COUNT(Dong8),"",OFFSET(TH!K$1,SMALL(Dong8,ROWS($1:4)),))</f>
        <v>1890000</v>
      </c>
      <c r="G19" s="674">
        <f t="shared" ca="1" si="0"/>
        <v>0</v>
      </c>
      <c r="H19" s="674">
        <f t="shared" ca="1" si="1"/>
        <v>0</v>
      </c>
      <c r="I19" s="674">
        <f t="shared" ca="1" si="2"/>
        <v>0</v>
      </c>
      <c r="J19" s="674">
        <f t="shared" ca="1" si="3"/>
        <v>0</v>
      </c>
    </row>
    <row r="20" spans="1:10" ht="20.25" customHeight="1">
      <c r="A20" s="672">
        <f ca="1">IF(ROWS($1:5)&gt;COUNT(Dong8),"",OFFSET(TH!C$1,SMALL(Dong8,ROWS($1:5)),))</f>
        <v>42464</v>
      </c>
      <c r="B20" s="672" t="str">
        <f ca="1">IF(ROWS($1:5)&gt;COUNT(Dong8),"",OFFSET(TH!D$1,SMALL(Dong8,ROWS($1:5)),))</f>
        <v>TP/X</v>
      </c>
      <c r="C20" s="672">
        <f ca="1">IF(ROWS($1:5)&gt;COUNT(Dong8),"",OFFSET(TH!E$1,SMALL(Dong8,ROWS($1:5)),))</f>
        <v>42464</v>
      </c>
      <c r="D20" s="673" t="str">
        <f ca="1">IF(ROWS($1:5)&gt;COUNT(Dong8),"",OFFSET(TH!F$1,SMALL(Dong8,ROWS($1:5)),))</f>
        <v>Thùng carton chảo 24 (38x37x30)</v>
      </c>
      <c r="E20" s="672" t="str">
        <f ca="1">IF(ROWS($1:5)&gt;COUNT(Dong8),"",OFFSET(TH!M$1,SMALL(Dong8,ROWS($1:5)),))</f>
        <v>155</v>
      </c>
      <c r="F20" s="674">
        <f ca="1">IF(ROWS($1:5)&gt;COUNT(Dong8),"",OFFSET(TH!K$1,SMALL(Dong8,ROWS($1:5)),))</f>
        <v>2787360</v>
      </c>
      <c r="G20" s="674">
        <f t="shared" ca="1" si="0"/>
        <v>0</v>
      </c>
      <c r="H20" s="674">
        <f t="shared" ca="1" si="1"/>
        <v>2787360</v>
      </c>
      <c r="I20" s="674">
        <f t="shared" ca="1" si="2"/>
        <v>0</v>
      </c>
      <c r="J20" s="674">
        <f t="shared" ca="1" si="3"/>
        <v>0</v>
      </c>
    </row>
    <row r="21" spans="1:10" ht="20.25" customHeight="1">
      <c r="A21" s="672"/>
      <c r="B21" s="675"/>
      <c r="C21" s="672"/>
      <c r="D21" s="676"/>
      <c r="E21" s="677"/>
      <c r="F21" s="678"/>
      <c r="G21" s="678"/>
      <c r="H21" s="678"/>
      <c r="I21" s="678"/>
      <c r="J21" s="678"/>
    </row>
    <row r="22" spans="1:10" ht="20.25" customHeight="1">
      <c r="A22" s="672"/>
      <c r="B22" s="675"/>
      <c r="C22" s="672"/>
      <c r="D22" s="670" t="s">
        <v>133</v>
      </c>
      <c r="E22" s="669" t="s">
        <v>19</v>
      </c>
      <c r="F22" s="671">
        <f ca="1">SUM(F15:F21)</f>
        <v>34431360</v>
      </c>
      <c r="G22" s="671">
        <f ca="1">SUM(G15:G21)</f>
        <v>0</v>
      </c>
      <c r="H22" s="671">
        <f ca="1">SUM(H15:H21)</f>
        <v>2787360</v>
      </c>
      <c r="I22" s="671">
        <f ca="1">SUM(I15:I21)</f>
        <v>0</v>
      </c>
      <c r="J22" s="671">
        <f ca="1">SUM(J15:J21)</f>
        <v>0</v>
      </c>
    </row>
    <row r="23" spans="1:10" ht="20.25" customHeight="1">
      <c r="A23" s="679"/>
      <c r="B23" s="677"/>
      <c r="C23" s="679"/>
      <c r="D23" s="680" t="s">
        <v>397</v>
      </c>
      <c r="E23" s="675"/>
      <c r="F23" s="681">
        <f ca="1">SUM(G23:J23)</f>
        <v>2787360</v>
      </c>
      <c r="G23" s="681">
        <f ca="1">G22</f>
        <v>0</v>
      </c>
      <c r="H23" s="681">
        <f ca="1">H22</f>
        <v>2787360</v>
      </c>
      <c r="I23" s="681">
        <f ca="1">I22</f>
        <v>0</v>
      </c>
      <c r="J23" s="681">
        <f ca="1">J22</f>
        <v>0</v>
      </c>
    </row>
    <row r="24" spans="1:10" ht="20.25" customHeight="1">
      <c r="A24" s="682"/>
      <c r="B24" s="682"/>
      <c r="C24" s="682"/>
      <c r="D24" s="683" t="s">
        <v>10</v>
      </c>
      <c r="E24" s="682" t="s">
        <v>19</v>
      </c>
      <c r="F24" s="684">
        <f ca="1">F15+F22-F23</f>
        <v>31644000</v>
      </c>
      <c r="G24" s="684">
        <f ca="1">G15+G22-G23</f>
        <v>0</v>
      </c>
      <c r="H24" s="684">
        <f ca="1">H15+H22-H23</f>
        <v>0</v>
      </c>
      <c r="I24" s="684">
        <f ca="1">I15+I22-I23</f>
        <v>0</v>
      </c>
      <c r="J24" s="684">
        <f ca="1">J15+J22-J23</f>
        <v>0</v>
      </c>
    </row>
    <row r="26" spans="1:10">
      <c r="B26" s="685"/>
      <c r="C26" s="665" t="s">
        <v>398</v>
      </c>
    </row>
    <row r="27" spans="1:10">
      <c r="C27" s="665" t="str">
        <f ca="1">"- Ngày mở sổ: "&amp;"01/"&amp;MONTH(A16)&amp;"/ "&amp;YEAR(A16)</f>
        <v>- Ngày mở sổ: 01/4/ 2016</v>
      </c>
    </row>
    <row r="28" spans="1:10">
      <c r="E28" s="664"/>
      <c r="F28" s="664"/>
      <c r="G28" s="664"/>
      <c r="H28" s="664"/>
      <c r="I28" s="114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7"/>
    </row>
    <row r="29" spans="1:10">
      <c r="B29" s="664"/>
      <c r="C29" s="661" t="s">
        <v>11</v>
      </c>
      <c r="D29" s="664"/>
      <c r="E29" s="664"/>
      <c r="F29" s="664"/>
      <c r="G29" s="664"/>
      <c r="H29" s="664"/>
      <c r="I29" s="1147" t="s">
        <v>12</v>
      </c>
      <c r="J29" s="1147"/>
    </row>
    <row r="30" spans="1:10">
      <c r="B30" s="664"/>
      <c r="C30" s="661" t="s">
        <v>13</v>
      </c>
      <c r="D30" s="664"/>
      <c r="E30" s="664"/>
      <c r="F30" s="664"/>
      <c r="G30" s="664"/>
      <c r="H30" s="664"/>
      <c r="I30" s="664"/>
      <c r="J30" s="664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1" customWidth="1"/>
    <col min="3" max="3" width="8.5703125" style="661" customWidth="1"/>
    <col min="4" max="4" width="51.42578125" style="661" customWidth="1"/>
    <col min="5" max="5" width="8" style="661" customWidth="1"/>
    <col min="6" max="6" width="12.28515625" style="661" bestFit="1" customWidth="1"/>
    <col min="7" max="7" width="10.140625" style="661" customWidth="1"/>
    <col min="8" max="8" width="10.7109375" style="661" customWidth="1"/>
    <col min="9" max="9" width="11.42578125" style="661" customWidth="1"/>
    <col min="10" max="10" width="11.5703125" style="661" customWidth="1"/>
    <col min="11" max="11" width="11.42578125" style="661" customWidth="1"/>
    <col min="12" max="12" width="9.42578125" style="661" customWidth="1"/>
    <col min="13" max="13" width="6.7109375" style="661" customWidth="1"/>
    <col min="14" max="16384" width="9.140625" style="661"/>
  </cols>
  <sheetData>
    <row r="2" spans="1:15">
      <c r="A2" s="660" t="str">
        <f>'632'!A2</f>
        <v>Đơn vị: CÔNG TY TNHH SX TM KIM DUNG PHÁT</v>
      </c>
      <c r="F2" s="662"/>
      <c r="G2" s="662"/>
      <c r="H2" s="1192" t="s">
        <v>381</v>
      </c>
      <c r="I2" s="1192"/>
      <c r="J2" s="1192"/>
      <c r="K2" s="1192"/>
      <c r="L2" s="686"/>
    </row>
    <row r="3" spans="1:15" ht="15" customHeight="1">
      <c r="A3" s="690" t="str">
        <f>'632'!A3</f>
        <v>Địa chỉ: 1A227/1 Ấp 1, Phạm Văn Hai, Bình Chánh, TPHCM</v>
      </c>
      <c r="H3" s="1195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5"/>
      <c r="J3" s="1195"/>
      <c r="K3" s="1195"/>
      <c r="L3" s="664"/>
    </row>
    <row r="4" spans="1:15">
      <c r="H4" s="1195"/>
      <c r="I4" s="1195"/>
      <c r="J4" s="1195"/>
      <c r="K4" s="1195"/>
      <c r="L4" s="664"/>
    </row>
    <row r="5" spans="1:15" ht="19.5" customHeight="1">
      <c r="A5" s="1193" t="s">
        <v>382</v>
      </c>
      <c r="B5" s="1193"/>
      <c r="C5" s="1193"/>
      <c r="D5" s="1193"/>
      <c r="E5" s="1193"/>
      <c r="F5" s="1193"/>
      <c r="G5" s="1193"/>
      <c r="H5" s="1193"/>
      <c r="I5" s="1193"/>
      <c r="J5" s="1193"/>
      <c r="K5" s="1193"/>
      <c r="L5" s="1193"/>
      <c r="M5" s="663" t="s">
        <v>83</v>
      </c>
      <c r="N5" s="595">
        <f>IF(N13="Quý I",1,IF(N13="Quý II",4,IF(N13="Quý III",7,IF(N13="Quý IV",10,""))))</f>
        <v>4</v>
      </c>
      <c r="O5" s="595">
        <f>IF(N13="Quý I",3,IF(N13="Quý II",6,IF(N13="Quý III",9,IF(N13="Quý IV",12,""))))</f>
        <v>6</v>
      </c>
    </row>
    <row r="6" spans="1:15">
      <c r="A6" s="1194" t="s">
        <v>383</v>
      </c>
      <c r="B6" s="1194"/>
      <c r="C6" s="1194"/>
      <c r="D6" s="1194"/>
      <c r="E6" s="1194"/>
      <c r="F6" s="1194"/>
      <c r="G6" s="1194"/>
      <c r="H6" s="1194"/>
      <c r="I6" s="1194"/>
      <c r="J6" s="1194"/>
      <c r="K6" s="1194"/>
      <c r="L6" s="1194"/>
    </row>
    <row r="7" spans="1:15">
      <c r="B7" s="664"/>
      <c r="C7" s="664"/>
      <c r="D7" s="664"/>
      <c r="E7" s="665" t="s">
        <v>399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191"/>
      <c r="D10" s="1191"/>
      <c r="E10" s="1191"/>
      <c r="F10" s="1191"/>
      <c r="G10" s="1191"/>
      <c r="H10" s="1191"/>
      <c r="I10" s="1191"/>
      <c r="J10" s="1191"/>
      <c r="K10" s="1191"/>
      <c r="L10" s="1191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400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388</v>
      </c>
      <c r="G12" s="1190" t="s">
        <v>389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687" t="s">
        <v>47</v>
      </c>
      <c r="H13" s="687" t="s">
        <v>24</v>
      </c>
      <c r="I13" s="687" t="s">
        <v>63</v>
      </c>
      <c r="J13" s="687" t="s">
        <v>262</v>
      </c>
      <c r="K13" s="687"/>
      <c r="L13" s="687"/>
      <c r="N13" s="689" t="s">
        <v>355</v>
      </c>
    </row>
    <row r="14" spans="1:15">
      <c r="A14" s="668" t="s">
        <v>2</v>
      </c>
      <c r="B14" s="668" t="s">
        <v>3</v>
      </c>
      <c r="C14" s="668" t="s">
        <v>4</v>
      </c>
      <c r="D14" s="668" t="s">
        <v>5</v>
      </c>
      <c r="E14" s="668" t="s">
        <v>6</v>
      </c>
      <c r="F14" s="668">
        <v>1</v>
      </c>
      <c r="G14" s="668">
        <v>2</v>
      </c>
      <c r="H14" s="668">
        <v>3</v>
      </c>
      <c r="I14" s="668">
        <v>4</v>
      </c>
      <c r="J14" s="668">
        <v>5</v>
      </c>
      <c r="K14" s="668">
        <v>6</v>
      </c>
      <c r="L14" s="668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>
        <f ca="1">IF(ROWS($1:1)&gt;COUNT(Dong7),"",OFFSET(TH!C$1,SMALL(Dong7,ROWS($1:1)),))</f>
        <v>42490</v>
      </c>
      <c r="B16" s="672" t="str">
        <f ca="1">IF(ROWS($1:1)&gt;COUNT(Dong7),"",OFFSET(TH!D$1,SMALL(Dong7,ROWS($1:1)),))</f>
        <v>CTGS</v>
      </c>
      <c r="C16" s="672">
        <f ca="1">IF(ROWS($1:1)&gt;COUNT(Dong7),"",OFFSET(TH!E$1,SMALL(Dong7,ROWS($1:1)),))</f>
        <v>42490</v>
      </c>
      <c r="D16" s="673" t="str">
        <f ca="1">IF(ROWS($1:1)&gt;COUNT(Dong7),"",OFFSET(TH!F$1,SMALL(Dong7,ROWS($1:1)),))</f>
        <v>Tiền lương BP Văn phòng</v>
      </c>
      <c r="E16" s="672" t="str">
        <f ca="1">IF(ROWS($1:1)&gt;COUNT(Dong7),"",OFFSET(TH!M$1,SMALL(Dong7,ROWS($1:1)),))</f>
        <v>3341</v>
      </c>
      <c r="F16" s="674">
        <f ca="1">IF(ROWS($1:1)&gt;COUNT(Dong7),"",OFFSET(TH!K$1,SMALL(Dong7,ROWS($1:1)),))</f>
        <v>5375000</v>
      </c>
      <c r="G16" s="674">
        <f t="shared" ref="G16:J30" ca="1" si="0">IF($E16=G$13,$F16,0)</f>
        <v>0</v>
      </c>
      <c r="H16" s="674">
        <f t="shared" ca="1" si="0"/>
        <v>0</v>
      </c>
      <c r="I16" s="674">
        <f t="shared" ca="1" si="0"/>
        <v>0</v>
      </c>
      <c r="J16" s="674">
        <f t="shared" ca="1" si="0"/>
        <v>5375000</v>
      </c>
      <c r="K16" s="674">
        <f ca="1">IF(LEFT($E16,3)=K$13,$F16,0)</f>
        <v>0</v>
      </c>
      <c r="L16" s="674">
        <f ca="1">IF(LEFT($E16,3)=L$13,$F16,0)</f>
        <v>0</v>
      </c>
    </row>
    <row r="17" spans="1:12" ht="21.75" customHeight="1">
      <c r="A17" s="672">
        <f ca="1">IF(ROWS($1:2)&gt;COUNT(Dong7),"",OFFSET(TH!C$1,SMALL(Dong7,ROWS($1:2)),))</f>
        <v>42521</v>
      </c>
      <c r="B17" s="672" t="str">
        <f ca="1">IF(ROWS($1:2)&gt;COUNT(Dong7),"",OFFSET(TH!D$1,SMALL(Dong7,ROWS($1:2)),))</f>
        <v>CTGS</v>
      </c>
      <c r="C17" s="672">
        <f ca="1">IF(ROWS($1:2)&gt;COUNT(Dong7),"",OFFSET(TH!E$1,SMALL(Dong7,ROWS($1:2)),))</f>
        <v>42521</v>
      </c>
      <c r="D17" s="673" t="str">
        <f ca="1">IF(ROWS($1:2)&gt;COUNT(Dong7),"",OFFSET(TH!F$1,SMALL(Dong7,ROWS($1:2)),))</f>
        <v>Tiền lương BP Văn phòng</v>
      </c>
      <c r="E17" s="672" t="str">
        <f ca="1">IF(ROWS($1:2)&gt;COUNT(Dong7),"",OFFSET(TH!M$1,SMALL(Dong7,ROWS($1:2)),))</f>
        <v>3341</v>
      </c>
      <c r="F17" s="674">
        <f ca="1">IF(ROWS($1:2)&gt;COUNT(Dong7),"",OFFSET(TH!K$1,SMALL(Dong7,ROWS($1:2)),))</f>
        <v>5375000</v>
      </c>
      <c r="G17" s="674">
        <f t="shared" ca="1" si="0"/>
        <v>0</v>
      </c>
      <c r="H17" s="674">
        <f t="shared" ca="1" si="0"/>
        <v>0</v>
      </c>
      <c r="I17" s="674">
        <f t="shared" ca="1" si="0"/>
        <v>0</v>
      </c>
      <c r="J17" s="674">
        <f t="shared" ca="1" si="0"/>
        <v>5375000</v>
      </c>
      <c r="K17" s="674">
        <f t="shared" ref="K17:L30" ca="1" si="1">IF(LEFT($E17,3)=K$13,$F17,0)</f>
        <v>0</v>
      </c>
      <c r="L17" s="674">
        <f t="shared" ca="1" si="1"/>
        <v>0</v>
      </c>
    </row>
    <row r="18" spans="1:12" ht="21.75" customHeight="1">
      <c r="A18" s="672">
        <f ca="1">IF(ROWS($1:3)&gt;COUNT(Dong7),"",OFFSET(TH!C$1,SMALL(Dong7,ROWS($1:3)),))</f>
        <v>42551</v>
      </c>
      <c r="B18" s="672" t="str">
        <f ca="1">IF(ROWS($1:3)&gt;COUNT(Dong7),"",OFFSET(TH!D$1,SMALL(Dong7,ROWS($1:3)),))</f>
        <v>CTGS</v>
      </c>
      <c r="C18" s="672">
        <f ca="1">IF(ROWS($1:3)&gt;COUNT(Dong7),"",OFFSET(TH!E$1,SMALL(Dong7,ROWS($1:3)),))</f>
        <v>42551</v>
      </c>
      <c r="D18" s="673" t="str">
        <f ca="1">IF(ROWS($1:3)&gt;COUNT(Dong7),"",OFFSET(TH!F$1,SMALL(Dong7,ROWS($1:3)),))</f>
        <v>Tiền lương BP Văn phòng</v>
      </c>
      <c r="E18" s="672" t="str">
        <f ca="1">IF(ROWS($1:3)&gt;COUNT(Dong7),"",OFFSET(TH!M$1,SMALL(Dong7,ROWS($1:3)),))</f>
        <v>3341</v>
      </c>
      <c r="F18" s="674">
        <f ca="1">IF(ROWS($1:3)&gt;COUNT(Dong7),"",OFFSET(TH!K$1,SMALL(Dong7,ROWS($1:3)),))</f>
        <v>5390000</v>
      </c>
      <c r="G18" s="674">
        <f t="shared" ca="1" si="0"/>
        <v>0</v>
      </c>
      <c r="H18" s="674">
        <f t="shared" ca="1" si="0"/>
        <v>0</v>
      </c>
      <c r="I18" s="674">
        <f t="shared" ca="1" si="0"/>
        <v>0</v>
      </c>
      <c r="J18" s="674">
        <f t="shared" ca="1" si="0"/>
        <v>5390000</v>
      </c>
      <c r="K18" s="674">
        <f t="shared" ca="1" si="1"/>
        <v>0</v>
      </c>
      <c r="L18" s="674">
        <f t="shared" ca="1" si="1"/>
        <v>0</v>
      </c>
    </row>
    <row r="19" spans="1:12" ht="21.75" customHeight="1">
      <c r="A19" s="672">
        <f ca="1">IF(ROWS($1:4)&gt;COUNT(Dong7),"",OFFSET(TH!C$1,SMALL(Dong7,ROWS($1:4)),))</f>
        <v>42468</v>
      </c>
      <c r="B19" s="672" t="str">
        <f ca="1">IF(ROWS($1:4)&gt;COUNT(Dong7),"",OFFSET(TH!D$1,SMALL(Dong7,ROWS($1:4)),))</f>
        <v>GBN</v>
      </c>
      <c r="C19" s="672">
        <f ca="1">IF(ROWS($1:4)&gt;COUNT(Dong7),"",OFFSET(TH!E$1,SMALL(Dong7,ROWS($1:4)),))</f>
        <v>42468</v>
      </c>
      <c r="D19" s="673" t="str">
        <f ca="1">IF(ROWS($1:4)&gt;COUNT(Dong7),"",OFFSET(TH!F$1,SMALL(Dong7,ROWS($1:4)),))</f>
        <v>Phí chuyển tiền</v>
      </c>
      <c r="E19" s="672" t="str">
        <f ca="1">IF(ROWS($1:4)&gt;COUNT(Dong7),"",OFFSET(TH!M$1,SMALL(Dong7,ROWS($1:4)),))</f>
        <v>1121</v>
      </c>
      <c r="F19" s="674">
        <f ca="1">IF(ROWS($1:4)&gt;COUNT(Dong7),"",OFFSET(TH!K$1,SMALL(Dong7,ROWS($1:4)),))</f>
        <v>13636</v>
      </c>
      <c r="G19" s="674">
        <f t="shared" ca="1" si="0"/>
        <v>0</v>
      </c>
      <c r="H19" s="674">
        <f t="shared" ca="1" si="0"/>
        <v>13636</v>
      </c>
      <c r="I19" s="674">
        <f t="shared" ca="1" si="0"/>
        <v>0</v>
      </c>
      <c r="J19" s="674">
        <f t="shared" ca="1" si="0"/>
        <v>0</v>
      </c>
      <c r="K19" s="674">
        <f t="shared" ca="1" si="1"/>
        <v>0</v>
      </c>
      <c r="L19" s="674">
        <f t="shared" ca="1" si="1"/>
        <v>0</v>
      </c>
    </row>
    <row r="20" spans="1:12" ht="21.75" customHeight="1">
      <c r="A20" s="672">
        <f ca="1">IF(ROWS($1:5)&gt;COUNT(Dong7),"",OFFSET(TH!C$1,SMALL(Dong7,ROWS($1:5)),))</f>
        <v>42471</v>
      </c>
      <c r="B20" s="672" t="str">
        <f ca="1">IF(ROWS($1:5)&gt;COUNT(Dong7),"",OFFSET(TH!D$1,SMALL(Dong7,ROWS($1:5)),))</f>
        <v>GBN</v>
      </c>
      <c r="C20" s="672">
        <f ca="1">IF(ROWS($1:5)&gt;COUNT(Dong7),"",OFFSET(TH!E$1,SMALL(Dong7,ROWS($1:5)),))</f>
        <v>42471</v>
      </c>
      <c r="D20" s="673" t="str">
        <f ca="1">IF(ROWS($1:5)&gt;COUNT(Dong7),"",OFFSET(TH!F$1,SMALL(Dong7,ROWS($1:5)),))</f>
        <v>Phí chuyển tiền</v>
      </c>
      <c r="E20" s="672" t="str">
        <f ca="1">IF(ROWS($1:5)&gt;COUNT(Dong7),"",OFFSET(TH!M$1,SMALL(Dong7,ROWS($1:5)),))</f>
        <v>1121</v>
      </c>
      <c r="F20" s="674">
        <f ca="1">IF(ROWS($1:5)&gt;COUNT(Dong7),"",OFFSET(TH!K$1,SMALL(Dong7,ROWS($1:5)),))</f>
        <v>13636</v>
      </c>
      <c r="G20" s="674">
        <f t="shared" ca="1" si="0"/>
        <v>0</v>
      </c>
      <c r="H20" s="674">
        <f t="shared" ca="1" si="0"/>
        <v>13636</v>
      </c>
      <c r="I20" s="674">
        <f t="shared" ca="1" si="0"/>
        <v>0</v>
      </c>
      <c r="J20" s="674">
        <f t="shared" ca="1" si="0"/>
        <v>0</v>
      </c>
      <c r="K20" s="674">
        <f t="shared" ca="1" si="1"/>
        <v>0</v>
      </c>
      <c r="L20" s="674">
        <f t="shared" ca="1" si="1"/>
        <v>0</v>
      </c>
    </row>
    <row r="21" spans="1:12" ht="21.75" customHeight="1">
      <c r="A21" s="672">
        <f ca="1">IF(ROWS($1:6)&gt;COUNT(Dong7),"",OFFSET(TH!C$1,SMALL(Dong7,ROWS($1:6)),))</f>
        <v>42471</v>
      </c>
      <c r="B21" s="672" t="str">
        <f ca="1">IF(ROWS($1:6)&gt;COUNT(Dong7),"",OFFSET(TH!D$1,SMALL(Dong7,ROWS($1:6)),))</f>
        <v>GBN</v>
      </c>
      <c r="C21" s="672">
        <f ca="1">IF(ROWS($1:6)&gt;COUNT(Dong7),"",OFFSET(TH!E$1,SMALL(Dong7,ROWS($1:6)),))</f>
        <v>42471</v>
      </c>
      <c r="D21" s="673" t="str">
        <f ca="1">IF(ROWS($1:6)&gt;COUNT(Dong7),"",OFFSET(TH!F$1,SMALL(Dong7,ROWS($1:6)),))</f>
        <v>Phí chuyển tiền</v>
      </c>
      <c r="E21" s="672" t="str">
        <f ca="1">IF(ROWS($1:6)&gt;COUNT(Dong7),"",OFFSET(TH!M$1,SMALL(Dong7,ROWS($1:6)),))</f>
        <v>1121</v>
      </c>
      <c r="F21" s="674">
        <f ca="1">IF(ROWS($1:6)&gt;COUNT(Dong7),"",OFFSET(TH!K$1,SMALL(Dong7,ROWS($1:6)),))</f>
        <v>13636</v>
      </c>
      <c r="G21" s="674">
        <f t="shared" ca="1" si="0"/>
        <v>0</v>
      </c>
      <c r="H21" s="674">
        <f t="shared" ca="1" si="0"/>
        <v>13636</v>
      </c>
      <c r="I21" s="674">
        <f t="shared" ca="1" si="0"/>
        <v>0</v>
      </c>
      <c r="J21" s="674">
        <f t="shared" ca="1" si="0"/>
        <v>0</v>
      </c>
      <c r="K21" s="674">
        <f t="shared" ca="1" si="1"/>
        <v>0</v>
      </c>
      <c r="L21" s="674">
        <f t="shared" ca="1" si="1"/>
        <v>0</v>
      </c>
    </row>
    <row r="22" spans="1:12" ht="21.75" customHeight="1">
      <c r="A22" s="672">
        <f ca="1">IF(ROWS($1:7)&gt;COUNT(Dong7),"",OFFSET(TH!C$1,SMALL(Dong7,ROWS($1:7)),))</f>
        <v>42471</v>
      </c>
      <c r="B22" s="672" t="str">
        <f ca="1">IF(ROWS($1:7)&gt;COUNT(Dong7),"",OFFSET(TH!D$1,SMALL(Dong7,ROWS($1:7)),))</f>
        <v>GBN</v>
      </c>
      <c r="C22" s="672">
        <f ca="1">IF(ROWS($1:7)&gt;COUNT(Dong7),"",OFFSET(TH!E$1,SMALL(Dong7,ROWS($1:7)),))</f>
        <v>42471</v>
      </c>
      <c r="D22" s="673" t="str">
        <f ca="1">IF(ROWS($1:7)&gt;COUNT(Dong7),"",OFFSET(TH!F$1,SMALL(Dong7,ROWS($1:7)),))</f>
        <v>Phí chuyển tiền</v>
      </c>
      <c r="E22" s="672" t="str">
        <f ca="1">IF(ROWS($1:7)&gt;COUNT(Dong7),"",OFFSET(TH!M$1,SMALL(Dong7,ROWS($1:7)),))</f>
        <v>1121</v>
      </c>
      <c r="F22" s="674">
        <f ca="1">IF(ROWS($1:7)&gt;COUNT(Dong7),"",OFFSET(TH!K$1,SMALL(Dong7,ROWS($1:7)),))</f>
        <v>9091</v>
      </c>
      <c r="G22" s="674">
        <f t="shared" ca="1" si="0"/>
        <v>0</v>
      </c>
      <c r="H22" s="674">
        <f t="shared" ca="1" si="0"/>
        <v>9091</v>
      </c>
      <c r="I22" s="674">
        <f t="shared" ca="1" si="0"/>
        <v>0</v>
      </c>
      <c r="J22" s="674">
        <f t="shared" ca="1" si="0"/>
        <v>0</v>
      </c>
      <c r="K22" s="674">
        <f t="shared" ca="1" si="1"/>
        <v>0</v>
      </c>
      <c r="L22" s="674">
        <f t="shared" ca="1" si="1"/>
        <v>0</v>
      </c>
    </row>
    <row r="23" spans="1:12" ht="21.75" customHeight="1">
      <c r="A23" s="672">
        <f ca="1">IF(ROWS($1:8)&gt;COUNT(Dong7),"",OFFSET(TH!C$1,SMALL(Dong7,ROWS($1:8)),))</f>
        <v>42474</v>
      </c>
      <c r="B23" s="672" t="str">
        <f ca="1">IF(ROWS($1:8)&gt;COUNT(Dong7),"",OFFSET(TH!D$1,SMALL(Dong7,ROWS($1:8)),))</f>
        <v>GBN</v>
      </c>
      <c r="C23" s="672">
        <f ca="1">IF(ROWS($1:8)&gt;COUNT(Dong7),"",OFFSET(TH!E$1,SMALL(Dong7,ROWS($1:8)),))</f>
        <v>42474</v>
      </c>
      <c r="D23" s="673" t="str">
        <f ca="1">IF(ROWS($1:8)&gt;COUNT(Dong7),"",OFFSET(TH!F$1,SMALL(Dong7,ROWS($1:8)),))</f>
        <v>Phí kiểm đếm</v>
      </c>
      <c r="E23" s="672" t="str">
        <f ca="1">IF(ROWS($1:8)&gt;COUNT(Dong7),"",OFFSET(TH!M$1,SMALL(Dong7,ROWS($1:8)),))</f>
        <v>1121</v>
      </c>
      <c r="F23" s="674">
        <f ca="1">IF(ROWS($1:8)&gt;COUNT(Dong7),"",OFFSET(TH!K$1,SMALL(Dong7,ROWS($1:8)),))</f>
        <v>13636</v>
      </c>
      <c r="G23" s="674">
        <f t="shared" ca="1" si="0"/>
        <v>0</v>
      </c>
      <c r="H23" s="674">
        <f t="shared" ca="1" si="0"/>
        <v>13636</v>
      </c>
      <c r="I23" s="674">
        <f t="shared" ca="1" si="0"/>
        <v>0</v>
      </c>
      <c r="J23" s="674">
        <f t="shared" ca="1" si="0"/>
        <v>0</v>
      </c>
      <c r="K23" s="674">
        <f t="shared" ca="1" si="1"/>
        <v>0</v>
      </c>
      <c r="L23" s="674">
        <f t="shared" ca="1" si="1"/>
        <v>0</v>
      </c>
    </row>
    <row r="24" spans="1:12" ht="21.75" customHeight="1">
      <c r="A24" s="672">
        <f ca="1">IF(ROWS($1:9)&gt;COUNT(Dong7),"",OFFSET(TH!C$1,SMALL(Dong7,ROWS($1:9)),))</f>
        <v>42478</v>
      </c>
      <c r="B24" s="672">
        <f ca="1">IF(ROWS($1:9)&gt;COUNT(Dong7),"",OFFSET(TH!D$1,SMALL(Dong7,ROWS($1:9)),))</f>
        <v>0</v>
      </c>
      <c r="C24" s="672">
        <f ca="1">IF(ROWS($1:9)&gt;COUNT(Dong7),"",OFFSET(TH!E$1,SMALL(Dong7,ROWS($1:9)),))</f>
        <v>42478</v>
      </c>
      <c r="D24" s="673" t="str">
        <f ca="1">IF(ROWS($1:9)&gt;COUNT(Dong7),"",OFFSET(TH!F$1,SMALL(Dong7,ROWS($1:9)),))</f>
        <v>Tiền điện thoại</v>
      </c>
      <c r="E24" s="672" t="str">
        <f ca="1">IF(ROWS($1:9)&gt;COUNT(Dong7),"",OFFSET(TH!M$1,SMALL(Dong7,ROWS($1:9)),))</f>
        <v>1111</v>
      </c>
      <c r="F24" s="674">
        <f ca="1">IF(ROWS($1:9)&gt;COUNT(Dong7),"",OFFSET(TH!K$1,SMALL(Dong7,ROWS($1:9)),))</f>
        <v>513636</v>
      </c>
      <c r="G24" s="674">
        <f t="shared" ca="1" si="0"/>
        <v>513636</v>
      </c>
      <c r="H24" s="674">
        <f t="shared" ca="1" si="0"/>
        <v>0</v>
      </c>
      <c r="I24" s="674">
        <f t="shared" ca="1" si="0"/>
        <v>0</v>
      </c>
      <c r="J24" s="674">
        <f t="shared" ca="1" si="0"/>
        <v>0</v>
      </c>
      <c r="K24" s="674">
        <f t="shared" ca="1" si="1"/>
        <v>0</v>
      </c>
      <c r="L24" s="674">
        <f t="shared" ca="1" si="1"/>
        <v>0</v>
      </c>
    </row>
    <row r="25" spans="1:12" ht="21.75" customHeight="1">
      <c r="A25" s="672">
        <f ca="1">IF(ROWS($1:10)&gt;COUNT(Dong7),"",OFFSET(TH!C$1,SMALL(Dong7,ROWS($1:10)),))</f>
        <v>42478</v>
      </c>
      <c r="B25" s="672">
        <f ca="1">IF(ROWS($1:10)&gt;COUNT(Dong7),"",OFFSET(TH!D$1,SMALL(Dong7,ROWS($1:10)),))</f>
        <v>0</v>
      </c>
      <c r="C25" s="672">
        <f ca="1">IF(ROWS($1:10)&gt;COUNT(Dong7),"",OFFSET(TH!E$1,SMALL(Dong7,ROWS($1:10)),))</f>
        <v>42478</v>
      </c>
      <c r="D25" s="673" t="str">
        <f ca="1">IF(ROWS($1:10)&gt;COUNT(Dong7),"",OFFSET(TH!F$1,SMALL(Dong7,ROWS($1:10)),))</f>
        <v>Tiền điện thoại</v>
      </c>
      <c r="E25" s="672" t="str">
        <f ca="1">IF(ROWS($1:10)&gt;COUNT(Dong7),"",OFFSET(TH!M$1,SMALL(Dong7,ROWS($1:10)),))</f>
        <v>1111</v>
      </c>
      <c r="F25" s="674">
        <f ca="1">IF(ROWS($1:10)&gt;COUNT(Dong7),"",OFFSET(TH!K$1,SMALL(Dong7,ROWS($1:10)),))</f>
        <v>513636</v>
      </c>
      <c r="G25" s="674">
        <f t="shared" ca="1" si="0"/>
        <v>513636</v>
      </c>
      <c r="H25" s="674">
        <f t="shared" ca="1" si="0"/>
        <v>0</v>
      </c>
      <c r="I25" s="674">
        <f t="shared" ca="1" si="0"/>
        <v>0</v>
      </c>
      <c r="J25" s="674">
        <f t="shared" ca="1" si="0"/>
        <v>0</v>
      </c>
      <c r="K25" s="674">
        <f t="shared" ca="1" si="1"/>
        <v>0</v>
      </c>
      <c r="L25" s="674">
        <f t="shared" ca="1" si="1"/>
        <v>0</v>
      </c>
    </row>
    <row r="26" spans="1:12" ht="21.75" customHeight="1">
      <c r="A26" s="672">
        <f ca="1">IF(ROWS($1:11)&gt;COUNT(Dong7),"",OFFSET(TH!C$1,SMALL(Dong7,ROWS($1:11)),))</f>
        <v>42479</v>
      </c>
      <c r="B26" s="672" t="str">
        <f ca="1">IF(ROWS($1:11)&gt;COUNT(Dong7),"",OFFSET(TH!D$1,SMALL(Dong7,ROWS($1:11)),))</f>
        <v>GBN</v>
      </c>
      <c r="C26" s="672">
        <f ca="1">IF(ROWS($1:11)&gt;COUNT(Dong7),"",OFFSET(TH!E$1,SMALL(Dong7,ROWS($1:11)),))</f>
        <v>42479</v>
      </c>
      <c r="D26" s="673" t="str">
        <f ca="1">IF(ROWS($1:11)&gt;COUNT(Dong7),"",OFFSET(TH!F$1,SMALL(Dong7,ROWS($1:11)),))</f>
        <v>Phí kiểm đếm</v>
      </c>
      <c r="E26" s="672" t="str">
        <f ca="1">IF(ROWS($1:11)&gt;COUNT(Dong7),"",OFFSET(TH!M$1,SMALL(Dong7,ROWS($1:11)),))</f>
        <v>1121</v>
      </c>
      <c r="F26" s="674">
        <f ca="1">IF(ROWS($1:11)&gt;COUNT(Dong7),"",OFFSET(TH!K$1,SMALL(Dong7,ROWS($1:11)),))</f>
        <v>13636</v>
      </c>
      <c r="G26" s="674">
        <f t="shared" ca="1" si="0"/>
        <v>0</v>
      </c>
      <c r="H26" s="674">
        <f t="shared" ca="1" si="0"/>
        <v>13636</v>
      </c>
      <c r="I26" s="674">
        <f t="shared" ca="1" si="0"/>
        <v>0</v>
      </c>
      <c r="J26" s="674">
        <f t="shared" ca="1" si="0"/>
        <v>0</v>
      </c>
      <c r="K26" s="674">
        <f t="shared" ca="1" si="1"/>
        <v>0</v>
      </c>
      <c r="L26" s="674">
        <f t="shared" ca="1" si="1"/>
        <v>0</v>
      </c>
    </row>
    <row r="27" spans="1:12" ht="21.75" customHeight="1">
      <c r="A27" s="672">
        <f ca="1">IF(ROWS($1:12)&gt;COUNT(Dong7),"",OFFSET(TH!C$1,SMALL(Dong7,ROWS($1:12)),))</f>
        <v>42479</v>
      </c>
      <c r="B27" s="672" t="str">
        <f ca="1">IF(ROWS($1:12)&gt;COUNT(Dong7),"",OFFSET(TH!D$1,SMALL(Dong7,ROWS($1:12)),))</f>
        <v>GBN</v>
      </c>
      <c r="C27" s="672">
        <f ca="1">IF(ROWS($1:12)&gt;COUNT(Dong7),"",OFFSET(TH!E$1,SMALL(Dong7,ROWS($1:12)),))</f>
        <v>42479</v>
      </c>
      <c r="D27" s="673" t="str">
        <f ca="1">IF(ROWS($1:12)&gt;COUNT(Dong7),"",OFFSET(TH!F$1,SMALL(Dong7,ROWS($1:12)),))</f>
        <v>Phí chuyển tiền</v>
      </c>
      <c r="E27" s="672" t="str">
        <f ca="1">IF(ROWS($1:12)&gt;COUNT(Dong7),"",OFFSET(TH!M$1,SMALL(Dong7,ROWS($1:12)),))</f>
        <v>1121</v>
      </c>
      <c r="F27" s="674">
        <f ca="1">IF(ROWS($1:12)&gt;COUNT(Dong7),"",OFFSET(TH!K$1,SMALL(Dong7,ROWS($1:12)),))</f>
        <v>13636</v>
      </c>
      <c r="G27" s="674">
        <f t="shared" ca="1" si="0"/>
        <v>0</v>
      </c>
      <c r="H27" s="674">
        <f t="shared" ca="1" si="0"/>
        <v>13636</v>
      </c>
      <c r="I27" s="674">
        <f t="shared" ca="1" si="0"/>
        <v>0</v>
      </c>
      <c r="J27" s="674">
        <f t="shared" ca="1" si="0"/>
        <v>0</v>
      </c>
      <c r="K27" s="674">
        <f t="shared" ca="1" si="1"/>
        <v>0</v>
      </c>
      <c r="L27" s="674">
        <f t="shared" ca="1" si="1"/>
        <v>0</v>
      </c>
    </row>
    <row r="28" spans="1:12" ht="21.75" customHeight="1">
      <c r="A28" s="672">
        <f ca="1">IF(ROWS($1:13)&gt;COUNT(Dong7),"",OFFSET(TH!C$1,SMALL(Dong7,ROWS($1:13)),))</f>
        <v>42482</v>
      </c>
      <c r="B28" s="672" t="str">
        <f ca="1">IF(ROWS($1:13)&gt;COUNT(Dong7),"",OFFSET(TH!D$1,SMALL(Dong7,ROWS($1:13)),))</f>
        <v>GBC</v>
      </c>
      <c r="C28" s="672">
        <f ca="1">IF(ROWS($1:13)&gt;COUNT(Dong7),"",OFFSET(TH!E$1,SMALL(Dong7,ROWS($1:13)),))</f>
        <v>42482</v>
      </c>
      <c r="D28" s="673" t="str">
        <f ca="1">IF(ROWS($1:13)&gt;COUNT(Dong7),"",OFFSET(TH!F$1,SMALL(Dong7,ROWS($1:13)),))</f>
        <v>Phí chuyển tiền</v>
      </c>
      <c r="E28" s="672" t="str">
        <f ca="1">IF(ROWS($1:13)&gt;COUNT(Dong7),"",OFFSET(TH!M$1,SMALL(Dong7,ROWS($1:13)),))</f>
        <v>131</v>
      </c>
      <c r="F28" s="674">
        <f ca="1">IF(ROWS($1:13)&gt;COUNT(Dong7),"",OFFSET(TH!K$1,SMALL(Dong7,ROWS($1:13)),))</f>
        <v>22000</v>
      </c>
      <c r="G28" s="674">
        <f t="shared" ca="1" si="0"/>
        <v>0</v>
      </c>
      <c r="H28" s="674">
        <f t="shared" ca="1" si="0"/>
        <v>0</v>
      </c>
      <c r="I28" s="674">
        <f t="shared" ca="1" si="0"/>
        <v>0</v>
      </c>
      <c r="J28" s="674">
        <f t="shared" ca="1" si="0"/>
        <v>0</v>
      </c>
      <c r="K28" s="674">
        <f t="shared" ca="1" si="1"/>
        <v>0</v>
      </c>
      <c r="L28" s="674">
        <f t="shared" ca="1" si="1"/>
        <v>0</v>
      </c>
    </row>
    <row r="29" spans="1:12" ht="21.75" customHeight="1">
      <c r="A29" s="672">
        <f ca="1">IF(ROWS($1:14)&gt;COUNT(Dong7),"",OFFSET(TH!C$1,SMALL(Dong7,ROWS($1:14)),))</f>
        <v>42487</v>
      </c>
      <c r="B29" s="672">
        <f ca="1">IF(ROWS($1:14)&gt;COUNT(Dong7),"",OFFSET(TH!D$1,SMALL(Dong7,ROWS($1:14)),))</f>
        <v>0</v>
      </c>
      <c r="C29" s="672">
        <f ca="1">IF(ROWS($1:14)&gt;COUNT(Dong7),"",OFFSET(TH!E$1,SMALL(Dong7,ROWS($1:14)),))</f>
        <v>42487</v>
      </c>
      <c r="D29" s="673" t="str">
        <f ca="1">IF(ROWS($1:14)&gt;COUNT(Dong7),"",OFFSET(TH!F$1,SMALL(Dong7,ROWS($1:14)),))</f>
        <v>Văn phòng phẩm</v>
      </c>
      <c r="E29" s="672" t="str">
        <f ca="1">IF(ROWS($1:14)&gt;COUNT(Dong7),"",OFFSET(TH!M$1,SMALL(Dong7,ROWS($1:14)),))</f>
        <v>1111</v>
      </c>
      <c r="F29" s="674">
        <f ca="1">IF(ROWS($1:14)&gt;COUNT(Dong7),"",OFFSET(TH!K$1,SMALL(Dong7,ROWS($1:14)),))</f>
        <v>785455</v>
      </c>
      <c r="G29" s="674">
        <f t="shared" ca="1" si="0"/>
        <v>785455</v>
      </c>
      <c r="H29" s="674">
        <f t="shared" ca="1" si="0"/>
        <v>0</v>
      </c>
      <c r="I29" s="674">
        <f t="shared" ca="1" si="0"/>
        <v>0</v>
      </c>
      <c r="J29" s="674">
        <f t="shared" ca="1" si="0"/>
        <v>0</v>
      </c>
      <c r="K29" s="674">
        <f t="shared" ca="1" si="1"/>
        <v>0</v>
      </c>
      <c r="L29" s="674">
        <f t="shared" ca="1" si="1"/>
        <v>0</v>
      </c>
    </row>
    <row r="30" spans="1:12" ht="21.75" customHeight="1">
      <c r="A30" s="672">
        <f ca="1">IF(ROWS($1:15)&gt;COUNT(Dong7),"",OFFSET(TH!C$1,SMALL(Dong7,ROWS($1:15)),))</f>
        <v>42488</v>
      </c>
      <c r="B30" s="672" t="str">
        <f ca="1">IF(ROWS($1:15)&gt;COUNT(Dong7),"",OFFSET(TH!D$1,SMALL(Dong7,ROWS($1:15)),))</f>
        <v>GBN</v>
      </c>
      <c r="C30" s="672">
        <f ca="1">IF(ROWS($1:15)&gt;COUNT(Dong7),"",OFFSET(TH!E$1,SMALL(Dong7,ROWS($1:15)),))</f>
        <v>42488</v>
      </c>
      <c r="D30" s="673" t="str">
        <f ca="1">IF(ROWS($1:15)&gt;COUNT(Dong7),"",OFFSET(TH!F$1,SMALL(Dong7,ROWS($1:15)),))</f>
        <v>Phí chuyển tiền</v>
      </c>
      <c r="E30" s="672" t="str">
        <f ca="1">IF(ROWS($1:15)&gt;COUNT(Dong7),"",OFFSET(TH!M$1,SMALL(Dong7,ROWS($1:15)),))</f>
        <v>1121</v>
      </c>
      <c r="F30" s="674">
        <f ca="1">IF(ROWS($1:15)&gt;COUNT(Dong7),"",OFFSET(TH!K$1,SMALL(Dong7,ROWS($1:15)),))</f>
        <v>13636</v>
      </c>
      <c r="G30" s="674">
        <f t="shared" ca="1" si="0"/>
        <v>0</v>
      </c>
      <c r="H30" s="674">
        <f t="shared" ca="1" si="0"/>
        <v>13636</v>
      </c>
      <c r="I30" s="674">
        <f t="shared" ca="1" si="0"/>
        <v>0</v>
      </c>
      <c r="J30" s="674">
        <f t="shared" ca="1" si="0"/>
        <v>0</v>
      </c>
      <c r="K30" s="674">
        <f t="shared" ca="1" si="1"/>
        <v>0</v>
      </c>
      <c r="L30" s="674">
        <f t="shared" ca="1" si="1"/>
        <v>0</v>
      </c>
    </row>
    <row r="31" spans="1:12" ht="21.75" customHeight="1">
      <c r="A31" s="672"/>
      <c r="B31" s="675"/>
      <c r="C31" s="672"/>
      <c r="D31" s="676"/>
      <c r="E31" s="677"/>
      <c r="F31" s="678"/>
      <c r="G31" s="678"/>
      <c r="H31" s="678"/>
      <c r="I31" s="678"/>
      <c r="J31" s="678"/>
      <c r="K31" s="678"/>
      <c r="L31" s="678"/>
    </row>
    <row r="32" spans="1:12" ht="21.75" customHeight="1">
      <c r="A32" s="672"/>
      <c r="B32" s="675"/>
      <c r="C32" s="672"/>
      <c r="D32" s="670" t="s">
        <v>133</v>
      </c>
      <c r="E32" s="669" t="s">
        <v>19</v>
      </c>
      <c r="F32" s="671">
        <f ca="1">SUM(F15:F31)</f>
        <v>18079270</v>
      </c>
      <c r="G32" s="671">
        <f t="shared" ref="G32:L32" ca="1" si="2">SUM(G15:G31)</f>
        <v>1812727</v>
      </c>
      <c r="H32" s="671">
        <f t="shared" ca="1" si="2"/>
        <v>104543</v>
      </c>
      <c r="I32" s="671">
        <f t="shared" ca="1" si="2"/>
        <v>0</v>
      </c>
      <c r="J32" s="671">
        <f t="shared" ca="1" si="2"/>
        <v>16140000</v>
      </c>
      <c r="K32" s="671">
        <f t="shared" ca="1" si="2"/>
        <v>0</v>
      </c>
      <c r="L32" s="671">
        <f t="shared" ca="1" si="2"/>
        <v>0</v>
      </c>
    </row>
    <row r="33" spans="1:12" ht="21.75" customHeight="1">
      <c r="A33" s="679"/>
      <c r="B33" s="677"/>
      <c r="C33" s="679"/>
      <c r="D33" s="680" t="s">
        <v>401</v>
      </c>
      <c r="E33" s="675"/>
      <c r="F33" s="681">
        <f ca="1">SUM(G33:L33)</f>
        <v>18057270</v>
      </c>
      <c r="G33" s="681">
        <f t="shared" ref="G33:L33" ca="1" si="3">G32</f>
        <v>1812727</v>
      </c>
      <c r="H33" s="681">
        <f t="shared" ca="1" si="3"/>
        <v>104543</v>
      </c>
      <c r="I33" s="681">
        <f t="shared" ca="1" si="3"/>
        <v>0</v>
      </c>
      <c r="J33" s="681">
        <f t="shared" ca="1" si="3"/>
        <v>16140000</v>
      </c>
      <c r="K33" s="681">
        <f t="shared" ca="1" si="3"/>
        <v>0</v>
      </c>
      <c r="L33" s="681">
        <f t="shared" ca="1" si="3"/>
        <v>0</v>
      </c>
    </row>
    <row r="34" spans="1:12" ht="21.75" customHeight="1">
      <c r="A34" s="682"/>
      <c r="B34" s="682"/>
      <c r="C34" s="682"/>
      <c r="D34" s="683" t="s">
        <v>10</v>
      </c>
      <c r="E34" s="682" t="s">
        <v>19</v>
      </c>
      <c r="F34" s="684">
        <f t="shared" ref="F34:L34" ca="1" si="4">F15+F32-F33</f>
        <v>22000</v>
      </c>
      <c r="G34" s="684">
        <f t="shared" ca="1" si="4"/>
        <v>0</v>
      </c>
      <c r="H34" s="684">
        <f t="shared" ca="1" si="4"/>
        <v>0</v>
      </c>
      <c r="I34" s="684">
        <f t="shared" ca="1" si="4"/>
        <v>0</v>
      </c>
      <c r="J34" s="684">
        <f t="shared" ca="1" si="4"/>
        <v>0</v>
      </c>
      <c r="K34" s="684">
        <f t="shared" ca="1" si="4"/>
        <v>0</v>
      </c>
      <c r="L34" s="684">
        <f t="shared" ca="1" si="4"/>
        <v>0</v>
      </c>
    </row>
    <row r="36" spans="1:12">
      <c r="B36" s="685"/>
      <c r="C36" s="665" t="s">
        <v>394</v>
      </c>
    </row>
    <row r="37" spans="1:12">
      <c r="C37" s="665" t="str">
        <f ca="1">"- Ngày mở sổ: "&amp;"01/"&amp;MONTH(A16)&amp;"/"&amp;YEAR(A16)</f>
        <v>- Ngày mở sổ: 01/4/2016</v>
      </c>
    </row>
    <row r="38" spans="1:12">
      <c r="E38" s="664"/>
      <c r="F38" s="664"/>
      <c r="G38" s="664"/>
      <c r="H38" s="664"/>
      <c r="I38" s="664"/>
      <c r="J38" s="114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7"/>
      <c r="L38" s="1147"/>
    </row>
    <row r="39" spans="1:12">
      <c r="B39" s="664"/>
      <c r="C39" s="661" t="s">
        <v>11</v>
      </c>
      <c r="D39" s="664"/>
      <c r="E39" s="664"/>
      <c r="F39" s="664"/>
      <c r="G39" s="664"/>
      <c r="H39" s="664"/>
      <c r="I39" s="664"/>
      <c r="J39" s="1147" t="s">
        <v>12</v>
      </c>
      <c r="K39" s="1147"/>
      <c r="L39" s="1147"/>
    </row>
    <row r="40" spans="1:12">
      <c r="B40" s="664"/>
      <c r="C40" s="661" t="s">
        <v>13</v>
      </c>
      <c r="D40" s="664"/>
      <c r="E40" s="664"/>
      <c r="F40" s="664"/>
      <c r="G40" s="664"/>
      <c r="H40" s="664"/>
      <c r="I40" s="664"/>
      <c r="J40" s="1194" t="s">
        <v>13</v>
      </c>
      <c r="K40" s="1194"/>
      <c r="L40" s="1194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660" t="str">
        <f>'632'!A2</f>
        <v>Đơn vị: CÔNG TY TNHH SX TM KIM DUNG PHÁT</v>
      </c>
      <c r="F2" s="745"/>
      <c r="G2" s="745"/>
      <c r="H2" s="1192" t="s">
        <v>381</v>
      </c>
      <c r="I2" s="1192"/>
      <c r="J2" s="1192"/>
      <c r="K2" s="1192"/>
      <c r="L2" s="686"/>
    </row>
    <row r="3" spans="1:15" ht="15" customHeight="1">
      <c r="A3" s="690" t="str">
        <f>'632'!A3</f>
        <v>Địa chỉ: 1A227/1 Ấp 1, Phạm Văn Hai, Bình Chánh, TPHCM</v>
      </c>
      <c r="H3" s="119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5"/>
      <c r="J3" s="1195"/>
      <c r="K3" s="1195"/>
      <c r="L3" s="664"/>
    </row>
    <row r="4" spans="1:15">
      <c r="H4" s="1195"/>
      <c r="I4" s="1195"/>
      <c r="J4" s="1195"/>
      <c r="K4" s="1195"/>
      <c r="L4" s="664"/>
    </row>
    <row r="5" spans="1:15" ht="19.5" customHeight="1">
      <c r="A5" s="1193" t="s">
        <v>382</v>
      </c>
      <c r="B5" s="1193"/>
      <c r="C5" s="1193"/>
      <c r="D5" s="1193"/>
      <c r="E5" s="1193"/>
      <c r="F5" s="1193"/>
      <c r="G5" s="1193"/>
      <c r="H5" s="1193"/>
      <c r="I5" s="1193"/>
      <c r="J5" s="1193"/>
      <c r="K5" s="1193"/>
      <c r="L5" s="1193"/>
      <c r="M5" s="663" t="s">
        <v>261</v>
      </c>
      <c r="N5" s="595">
        <f>IF(N13="Quý I",1,IF(N13="Quý II",4,IF(N13="Quý III",7,IF(N13="Quý IV",10,""))))</f>
        <v>7</v>
      </c>
      <c r="O5" s="595">
        <f>IF(N13="Quý I",3,IF(N13="Quý II",6,IF(N13="Quý III",9,IF(N13="Quý IV",12,""))))</f>
        <v>9</v>
      </c>
    </row>
    <row r="6" spans="1:15">
      <c r="A6" s="1194" t="s">
        <v>383</v>
      </c>
      <c r="B6" s="1194"/>
      <c r="C6" s="1194"/>
      <c r="D6" s="1194"/>
      <c r="E6" s="1194"/>
      <c r="F6" s="1194"/>
      <c r="G6" s="1194"/>
      <c r="H6" s="1194"/>
      <c r="I6" s="1194"/>
      <c r="J6" s="1194"/>
      <c r="K6" s="1194"/>
      <c r="L6" s="1194"/>
    </row>
    <row r="7" spans="1:15">
      <c r="B7" s="664"/>
      <c r="C7" s="664"/>
      <c r="D7" s="664"/>
      <c r="E7" s="665" t="s">
        <v>408</v>
      </c>
      <c r="G7" s="664"/>
      <c r="H7" s="664"/>
      <c r="I7" s="664"/>
      <c r="J7" s="664"/>
      <c r="K7" s="664"/>
      <c r="L7" s="664"/>
      <c r="M7" s="691"/>
    </row>
    <row r="8" spans="1:15">
      <c r="B8" s="664"/>
      <c r="C8" s="664"/>
      <c r="D8" s="664"/>
      <c r="E8" s="665" t="s">
        <v>385</v>
      </c>
      <c r="G8" s="664"/>
      <c r="H8" s="664"/>
      <c r="I8" s="664"/>
      <c r="J8" s="664"/>
      <c r="K8" s="664"/>
      <c r="L8" s="664"/>
    </row>
    <row r="9" spans="1:15">
      <c r="B9" s="666"/>
      <c r="C9" s="666"/>
      <c r="D9" s="666"/>
      <c r="E9" s="665" t="s">
        <v>386</v>
      </c>
      <c r="G9" s="666"/>
      <c r="H9" s="666"/>
      <c r="I9" s="666"/>
      <c r="J9" s="666"/>
      <c r="K9" s="666"/>
      <c r="L9" s="666"/>
    </row>
    <row r="10" spans="1:15" ht="9" customHeight="1">
      <c r="C10" s="1191"/>
      <c r="D10" s="1191"/>
      <c r="E10" s="1191"/>
      <c r="F10" s="1191"/>
      <c r="G10" s="1191"/>
      <c r="H10" s="1191"/>
      <c r="I10" s="1191"/>
      <c r="J10" s="1191"/>
      <c r="K10" s="1191"/>
      <c r="L10" s="1191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407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388</v>
      </c>
      <c r="G12" s="1190" t="s">
        <v>389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687" t="s">
        <v>47</v>
      </c>
      <c r="H13" s="687" t="s">
        <v>24</v>
      </c>
      <c r="I13" s="687"/>
      <c r="J13" s="687"/>
      <c r="K13" s="687"/>
      <c r="L13" s="687"/>
      <c r="N13" s="689" t="s">
        <v>410</v>
      </c>
    </row>
    <row r="14" spans="1:15">
      <c r="A14" s="747" t="s">
        <v>2</v>
      </c>
      <c r="B14" s="747" t="s">
        <v>3</v>
      </c>
      <c r="C14" s="747" t="s">
        <v>4</v>
      </c>
      <c r="D14" s="747" t="s">
        <v>5</v>
      </c>
      <c r="E14" s="747" t="s">
        <v>6</v>
      </c>
      <c r="F14" s="747">
        <v>1</v>
      </c>
      <c r="G14" s="747">
        <v>2</v>
      </c>
      <c r="H14" s="747">
        <v>3</v>
      </c>
      <c r="I14" s="747">
        <v>4</v>
      </c>
      <c r="J14" s="747">
        <v>5</v>
      </c>
      <c r="K14" s="747">
        <v>6</v>
      </c>
      <c r="L14" s="747">
        <v>7</v>
      </c>
    </row>
    <row r="15" spans="1:15" ht="21.75" customHeight="1">
      <c r="A15" s="669"/>
      <c r="B15" s="669"/>
      <c r="C15" s="669"/>
      <c r="D15" s="670" t="s">
        <v>7</v>
      </c>
      <c r="E15" s="669"/>
      <c r="F15" s="671"/>
      <c r="G15" s="671"/>
      <c r="H15" s="671"/>
      <c r="I15" s="671"/>
      <c r="J15" s="671"/>
      <c r="K15" s="671"/>
      <c r="L15" s="671"/>
    </row>
    <row r="16" spans="1:15" ht="21.75" customHeight="1">
      <c r="A16" s="672" t="str">
        <f ca="1">IF(ROWS($1:1)&gt;COUNT(Dong13),"",OFFSET(TH!C$1,SMALL(Dong13,ROWS($1:1)),))</f>
        <v/>
      </c>
      <c r="B16" s="672" t="str">
        <f ca="1">IF(ROWS($1:1)&gt;COUNT(Dong13),"",OFFSET(TH!D$1,SMALL(Dong13,ROWS($1:1)),))</f>
        <v/>
      </c>
      <c r="C16" s="672" t="str">
        <f ca="1">IF(ROWS($1:1)&gt;COUNT(Dong13),"",OFFSET(TH!E$1,SMALL(Dong13,ROWS($1:1)),))</f>
        <v/>
      </c>
      <c r="D16" s="673" t="str">
        <f ca="1">IF(ROWS($1:1)&gt;COUNT(Dong13),"",OFFSET(TH!F$1,SMALL(Dong13,ROWS($1:1)),))</f>
        <v/>
      </c>
      <c r="E16" s="672" t="str">
        <f ca="1">IF(ROWS($1:1)&gt;COUNT(Dong13),"",OFFSET(TH!M$1,SMALL(Dong13,ROWS($1:1)),))</f>
        <v/>
      </c>
      <c r="F16" s="751" t="str">
        <f ca="1">IF(ROWS($1:1)&gt;COUNT(Dong13),"",OFFSET(TH!K$1,SMALL(Dong13,ROWS($1:1)),))</f>
        <v/>
      </c>
      <c r="G16" s="674">
        <f t="shared" ref="G16:J25" ca="1" si="0">IF($E16=G$13,$F16,0)</f>
        <v>0</v>
      </c>
      <c r="H16" s="674">
        <f t="shared" ca="1" si="0"/>
        <v>0</v>
      </c>
      <c r="I16" s="674" t="str">
        <f t="shared" ca="1" si="0"/>
        <v/>
      </c>
      <c r="J16" s="674" t="str">
        <f t="shared" ca="1" si="0"/>
        <v/>
      </c>
      <c r="K16" s="674" t="str">
        <f ca="1">IF(LEFT($E16,3)=K$13,$F16,0)</f>
        <v/>
      </c>
      <c r="L16" s="674" t="str">
        <f ca="1">IF(LEFT($E16,3)=L$13,$F16,0)</f>
        <v/>
      </c>
    </row>
    <row r="17" spans="1:12" ht="21.75" customHeight="1">
      <c r="A17" s="672" t="str">
        <f ca="1">IF(ROWS($1:2)&gt;COUNT(Dong13),"",OFFSET(TH!C$1,SMALL(Dong13,ROWS($1:2)),))</f>
        <v/>
      </c>
      <c r="B17" s="672" t="str">
        <f ca="1">IF(ROWS($1:2)&gt;COUNT(Dong13),"",OFFSET(TH!D$1,SMALL(Dong13,ROWS($1:2)),))</f>
        <v/>
      </c>
      <c r="C17" s="672" t="str">
        <f ca="1">IF(ROWS($1:2)&gt;COUNT(Dong13),"",OFFSET(TH!E$1,SMALL(Dong13,ROWS($1:2)),))</f>
        <v/>
      </c>
      <c r="D17" s="673" t="str">
        <f ca="1">IF(ROWS($1:2)&gt;COUNT(Dong13),"",OFFSET(TH!F$1,SMALL(Dong13,ROWS($1:2)),))</f>
        <v/>
      </c>
      <c r="E17" s="672" t="str">
        <f ca="1">IF(ROWS($1:2)&gt;COUNT(Dong13),"",OFFSET(TH!M$1,SMALL(Dong13,ROWS($1:2)),))</f>
        <v/>
      </c>
      <c r="F17" s="751" t="str">
        <f ca="1">IF(ROWS($1:2)&gt;COUNT(Dong13),"",OFFSET(TH!K$1,SMALL(Dong13,ROWS($1:2)),))</f>
        <v/>
      </c>
      <c r="G17" s="674">
        <f t="shared" ca="1" si="0"/>
        <v>0</v>
      </c>
      <c r="H17" s="674">
        <f t="shared" ca="1" si="0"/>
        <v>0</v>
      </c>
      <c r="I17" s="674" t="str">
        <f t="shared" ca="1" si="0"/>
        <v/>
      </c>
      <c r="J17" s="674" t="str">
        <f t="shared" ca="1" si="0"/>
        <v/>
      </c>
      <c r="K17" s="674" t="str">
        <f t="shared" ref="K17:L25" ca="1" si="1">IF(LEFT($E17,3)=K$13,$F17,0)</f>
        <v/>
      </c>
      <c r="L17" s="674" t="str">
        <f t="shared" ca="1" si="1"/>
        <v/>
      </c>
    </row>
    <row r="18" spans="1:12" ht="21.75" customHeight="1">
      <c r="A18" s="672" t="str">
        <f ca="1">IF(ROWS($1:3)&gt;COUNT(Dong13),"",OFFSET(TH!C$1,SMALL(Dong13,ROWS($1:3)),))</f>
        <v/>
      </c>
      <c r="B18" s="672" t="str">
        <f ca="1">IF(ROWS($1:3)&gt;COUNT(Dong13),"",OFFSET(TH!D$1,SMALL(Dong13,ROWS($1:3)),))</f>
        <v/>
      </c>
      <c r="C18" s="672" t="str">
        <f ca="1">IF(ROWS($1:3)&gt;COUNT(Dong13),"",OFFSET(TH!E$1,SMALL(Dong13,ROWS($1:3)),))</f>
        <v/>
      </c>
      <c r="D18" s="673" t="str">
        <f ca="1">IF(ROWS($1:3)&gt;COUNT(Dong13),"",OFFSET(TH!F$1,SMALL(Dong13,ROWS($1:3)),))</f>
        <v/>
      </c>
      <c r="E18" s="672" t="str">
        <f ca="1">IF(ROWS($1:3)&gt;COUNT(Dong13),"",OFFSET(TH!M$1,SMALL(Dong13,ROWS($1:3)),))</f>
        <v/>
      </c>
      <c r="F18" s="751" t="str">
        <f ca="1">IF(ROWS($1:3)&gt;COUNT(Dong13),"",OFFSET(TH!K$1,SMALL(Dong13,ROWS($1:3)),))</f>
        <v/>
      </c>
      <c r="G18" s="674">
        <f t="shared" ca="1" si="0"/>
        <v>0</v>
      </c>
      <c r="H18" s="674">
        <f t="shared" ca="1" si="0"/>
        <v>0</v>
      </c>
      <c r="I18" s="674" t="str">
        <f t="shared" ca="1" si="0"/>
        <v/>
      </c>
      <c r="J18" s="674" t="str">
        <f t="shared" ca="1" si="0"/>
        <v/>
      </c>
      <c r="K18" s="674" t="str">
        <f t="shared" ca="1" si="1"/>
        <v/>
      </c>
      <c r="L18" s="674" t="str">
        <f t="shared" ca="1" si="1"/>
        <v/>
      </c>
    </row>
    <row r="19" spans="1:12" ht="21.75" customHeight="1">
      <c r="A19" s="672" t="str">
        <f ca="1">IF(ROWS($1:4)&gt;COUNT(Dong13),"",OFFSET(TH!C$1,SMALL(Dong13,ROWS($1:4)),))</f>
        <v/>
      </c>
      <c r="B19" s="672" t="str">
        <f ca="1">IF(ROWS($1:4)&gt;COUNT(Dong13),"",OFFSET(TH!D$1,SMALL(Dong13,ROWS($1:4)),))</f>
        <v/>
      </c>
      <c r="C19" s="672" t="str">
        <f ca="1">IF(ROWS($1:4)&gt;COUNT(Dong13),"",OFFSET(TH!E$1,SMALL(Dong13,ROWS($1:4)),))</f>
        <v/>
      </c>
      <c r="D19" s="673" t="str">
        <f ca="1">IF(ROWS($1:4)&gt;COUNT(Dong13),"",OFFSET(TH!F$1,SMALL(Dong13,ROWS($1:4)),))</f>
        <v/>
      </c>
      <c r="E19" s="672" t="str">
        <f ca="1">IF(ROWS($1:4)&gt;COUNT(Dong13),"",OFFSET(TH!M$1,SMALL(Dong13,ROWS($1:4)),))</f>
        <v/>
      </c>
      <c r="F19" s="751" t="str">
        <f ca="1">IF(ROWS($1:4)&gt;COUNT(Dong13),"",OFFSET(TH!K$1,SMALL(Dong13,ROWS($1:4)),))</f>
        <v/>
      </c>
      <c r="G19" s="674">
        <f t="shared" ca="1" si="0"/>
        <v>0</v>
      </c>
      <c r="H19" s="674">
        <f t="shared" ca="1" si="0"/>
        <v>0</v>
      </c>
      <c r="I19" s="674" t="str">
        <f t="shared" ca="1" si="0"/>
        <v/>
      </c>
      <c r="J19" s="674" t="str">
        <f t="shared" ca="1" si="0"/>
        <v/>
      </c>
      <c r="K19" s="674" t="str">
        <f t="shared" ca="1" si="1"/>
        <v/>
      </c>
      <c r="L19" s="674" t="str">
        <f t="shared" ca="1" si="1"/>
        <v/>
      </c>
    </row>
    <row r="20" spans="1:12" ht="21.75" customHeight="1">
      <c r="A20" s="672" t="str">
        <f ca="1">IF(ROWS($1:5)&gt;COUNT(Dong13),"",OFFSET(TH!C$1,SMALL(Dong13,ROWS($1:5)),))</f>
        <v/>
      </c>
      <c r="B20" s="672" t="str">
        <f ca="1">IF(ROWS($1:5)&gt;COUNT(Dong13),"",OFFSET(TH!D$1,SMALL(Dong13,ROWS($1:5)),))</f>
        <v/>
      </c>
      <c r="C20" s="672" t="str">
        <f ca="1">IF(ROWS($1:5)&gt;COUNT(Dong13),"",OFFSET(TH!E$1,SMALL(Dong13,ROWS($1:5)),))</f>
        <v/>
      </c>
      <c r="D20" s="673" t="str">
        <f ca="1">IF(ROWS($1:5)&gt;COUNT(Dong13),"",OFFSET(TH!F$1,SMALL(Dong13,ROWS($1:5)),))</f>
        <v/>
      </c>
      <c r="E20" s="672" t="str">
        <f ca="1">IF(ROWS($1:5)&gt;COUNT(Dong13),"",OFFSET(TH!M$1,SMALL(Dong13,ROWS($1:5)),))</f>
        <v/>
      </c>
      <c r="F20" s="751" t="str">
        <f ca="1">IF(ROWS($1:5)&gt;COUNT(Dong13),"",OFFSET(TH!K$1,SMALL(Dong13,ROWS($1:5)),))</f>
        <v/>
      </c>
      <c r="G20" s="674">
        <f t="shared" ca="1" si="0"/>
        <v>0</v>
      </c>
      <c r="H20" s="674">
        <f t="shared" ca="1" si="0"/>
        <v>0</v>
      </c>
      <c r="I20" s="674" t="str">
        <f t="shared" ca="1" si="0"/>
        <v/>
      </c>
      <c r="J20" s="674" t="str">
        <f t="shared" ca="1" si="0"/>
        <v/>
      </c>
      <c r="K20" s="674" t="str">
        <f t="shared" ca="1" si="1"/>
        <v/>
      </c>
      <c r="L20" s="674" t="str">
        <f t="shared" ca="1" si="1"/>
        <v/>
      </c>
    </row>
    <row r="21" spans="1:12" ht="21.75" customHeight="1">
      <c r="A21" s="672" t="str">
        <f ca="1">IF(ROWS($1:6)&gt;COUNT(Dong13),"",OFFSET(TH!C$1,SMALL(Dong13,ROWS($1:6)),))</f>
        <v/>
      </c>
      <c r="B21" s="672" t="str">
        <f ca="1">IF(ROWS($1:6)&gt;COUNT(Dong13),"",OFFSET(TH!D$1,SMALL(Dong13,ROWS($1:6)),))</f>
        <v/>
      </c>
      <c r="C21" s="672" t="str">
        <f ca="1">IF(ROWS($1:6)&gt;COUNT(Dong13),"",OFFSET(TH!E$1,SMALL(Dong13,ROWS($1:6)),))</f>
        <v/>
      </c>
      <c r="D21" s="673" t="str">
        <f ca="1">IF(ROWS($1:6)&gt;COUNT(Dong13),"",OFFSET(TH!F$1,SMALL(Dong13,ROWS($1:6)),))</f>
        <v/>
      </c>
      <c r="E21" s="672" t="str">
        <f ca="1">IF(ROWS($1:6)&gt;COUNT(Dong13),"",OFFSET(TH!M$1,SMALL(Dong13,ROWS($1:6)),))</f>
        <v/>
      </c>
      <c r="F21" s="751" t="str">
        <f ca="1">IF(ROWS($1:6)&gt;COUNT(Dong13),"",OFFSET(TH!K$1,SMALL(Dong13,ROWS($1:6)),))</f>
        <v/>
      </c>
      <c r="G21" s="674">
        <f t="shared" ca="1" si="0"/>
        <v>0</v>
      </c>
      <c r="H21" s="674">
        <f t="shared" ca="1" si="0"/>
        <v>0</v>
      </c>
      <c r="I21" s="674" t="str">
        <f t="shared" ca="1" si="0"/>
        <v/>
      </c>
      <c r="J21" s="674" t="str">
        <f t="shared" ca="1" si="0"/>
        <v/>
      </c>
      <c r="K21" s="674" t="str">
        <f t="shared" ca="1" si="1"/>
        <v/>
      </c>
      <c r="L21" s="674" t="str">
        <f t="shared" ca="1" si="1"/>
        <v/>
      </c>
    </row>
    <row r="22" spans="1:12" ht="21.75" customHeight="1">
      <c r="A22" s="672" t="str">
        <f ca="1">IF(ROWS($1:7)&gt;COUNT(Dong13),"",OFFSET(TH!C$1,SMALL(Dong13,ROWS($1:7)),))</f>
        <v/>
      </c>
      <c r="B22" s="672" t="str">
        <f ca="1">IF(ROWS($1:7)&gt;COUNT(Dong13),"",OFFSET(TH!D$1,SMALL(Dong13,ROWS($1:7)),))</f>
        <v/>
      </c>
      <c r="C22" s="672" t="str">
        <f ca="1">IF(ROWS($1:7)&gt;COUNT(Dong13),"",OFFSET(TH!E$1,SMALL(Dong13,ROWS($1:7)),))</f>
        <v/>
      </c>
      <c r="D22" s="673" t="str">
        <f ca="1">IF(ROWS($1:7)&gt;COUNT(Dong13),"",OFFSET(TH!F$1,SMALL(Dong13,ROWS($1:7)),))</f>
        <v/>
      </c>
      <c r="E22" s="672" t="str">
        <f ca="1">IF(ROWS($1:7)&gt;COUNT(Dong13),"",OFFSET(TH!M$1,SMALL(Dong13,ROWS($1:7)),))</f>
        <v/>
      </c>
      <c r="F22" s="751" t="str">
        <f ca="1">IF(ROWS($1:7)&gt;COUNT(Dong13),"",OFFSET(TH!K$1,SMALL(Dong13,ROWS($1:7)),))</f>
        <v/>
      </c>
      <c r="G22" s="674">
        <f t="shared" ca="1" si="0"/>
        <v>0</v>
      </c>
      <c r="H22" s="674">
        <f t="shared" ca="1" si="0"/>
        <v>0</v>
      </c>
      <c r="I22" s="674" t="str">
        <f t="shared" ca="1" si="0"/>
        <v/>
      </c>
      <c r="J22" s="674" t="str">
        <f t="shared" ca="1" si="0"/>
        <v/>
      </c>
      <c r="K22" s="674" t="str">
        <f t="shared" ca="1" si="1"/>
        <v/>
      </c>
      <c r="L22" s="674" t="str">
        <f t="shared" ca="1" si="1"/>
        <v/>
      </c>
    </row>
    <row r="23" spans="1:12" ht="21.75" customHeight="1">
      <c r="A23" s="672" t="str">
        <f ca="1">IF(ROWS($1:8)&gt;COUNT(Dong13),"",OFFSET(TH!C$1,SMALL(Dong13,ROWS($1:8)),))</f>
        <v/>
      </c>
      <c r="B23" s="672" t="str">
        <f ca="1">IF(ROWS($1:8)&gt;COUNT(Dong13),"",OFFSET(TH!D$1,SMALL(Dong13,ROWS($1:8)),))</f>
        <v/>
      </c>
      <c r="C23" s="672" t="str">
        <f ca="1">IF(ROWS($1:8)&gt;COUNT(Dong13),"",OFFSET(TH!E$1,SMALL(Dong13,ROWS($1:8)),))</f>
        <v/>
      </c>
      <c r="D23" s="673" t="str">
        <f ca="1">IF(ROWS($1:8)&gt;COUNT(Dong13),"",OFFSET(TH!F$1,SMALL(Dong13,ROWS($1:8)),))</f>
        <v/>
      </c>
      <c r="E23" s="672" t="str">
        <f ca="1">IF(ROWS($1:8)&gt;COUNT(Dong13),"",OFFSET(TH!M$1,SMALL(Dong13,ROWS($1:8)),))</f>
        <v/>
      </c>
      <c r="F23" s="751" t="str">
        <f ca="1">IF(ROWS($1:8)&gt;COUNT(Dong13),"",OFFSET(TH!K$1,SMALL(Dong13,ROWS($1:8)),))</f>
        <v/>
      </c>
      <c r="G23" s="674">
        <f t="shared" ca="1" si="0"/>
        <v>0</v>
      </c>
      <c r="H23" s="674">
        <f t="shared" ca="1" si="0"/>
        <v>0</v>
      </c>
      <c r="I23" s="674" t="str">
        <f t="shared" ca="1" si="0"/>
        <v/>
      </c>
      <c r="J23" s="674" t="str">
        <f t="shared" ca="1" si="0"/>
        <v/>
      </c>
      <c r="K23" s="674" t="str">
        <f t="shared" ca="1" si="1"/>
        <v/>
      </c>
      <c r="L23" s="674" t="str">
        <f t="shared" ca="1" si="1"/>
        <v/>
      </c>
    </row>
    <row r="24" spans="1:12" ht="21.75" customHeight="1">
      <c r="A24" s="672" t="str">
        <f ca="1">IF(ROWS($1:9)&gt;COUNT(Dong13),"",OFFSET(TH!C$1,SMALL(Dong13,ROWS($1:9)),))</f>
        <v/>
      </c>
      <c r="B24" s="672" t="str">
        <f ca="1">IF(ROWS($1:9)&gt;COUNT(Dong13),"",OFFSET(TH!D$1,SMALL(Dong13,ROWS($1:9)),))</f>
        <v/>
      </c>
      <c r="C24" s="672" t="str">
        <f ca="1">IF(ROWS($1:9)&gt;COUNT(Dong13),"",OFFSET(TH!E$1,SMALL(Dong13,ROWS($1:9)),))</f>
        <v/>
      </c>
      <c r="D24" s="673" t="str">
        <f ca="1">IF(ROWS($1:9)&gt;COUNT(Dong13),"",OFFSET(TH!F$1,SMALL(Dong13,ROWS($1:9)),))</f>
        <v/>
      </c>
      <c r="E24" s="672" t="str">
        <f ca="1">IF(ROWS($1:9)&gt;COUNT(Dong13),"",OFFSET(TH!M$1,SMALL(Dong13,ROWS($1:9)),))</f>
        <v/>
      </c>
      <c r="F24" s="751" t="str">
        <f ca="1">IF(ROWS($1:9)&gt;COUNT(Dong13),"",OFFSET(TH!K$1,SMALL(Dong13,ROWS($1:9)),))</f>
        <v/>
      </c>
      <c r="G24" s="674">
        <f t="shared" ca="1" si="0"/>
        <v>0</v>
      </c>
      <c r="H24" s="674">
        <f t="shared" ca="1" si="0"/>
        <v>0</v>
      </c>
      <c r="I24" s="674" t="str">
        <f t="shared" ca="1" si="0"/>
        <v/>
      </c>
      <c r="J24" s="674" t="str">
        <f t="shared" ca="1" si="0"/>
        <v/>
      </c>
      <c r="K24" s="674" t="str">
        <f t="shared" ca="1" si="1"/>
        <v/>
      </c>
      <c r="L24" s="674" t="str">
        <f t="shared" ca="1" si="1"/>
        <v/>
      </c>
    </row>
    <row r="25" spans="1:12" ht="21.75" customHeight="1">
      <c r="A25" s="672" t="str">
        <f ca="1">IF(ROWS($1:10)&gt;COUNT(Dong13),"",OFFSET(TH!C$1,SMALL(Dong13,ROWS($1:10)),))</f>
        <v/>
      </c>
      <c r="B25" s="672" t="str">
        <f ca="1">IF(ROWS($1:10)&gt;COUNT(Dong13),"",OFFSET(TH!D$1,SMALL(Dong13,ROWS($1:10)),))</f>
        <v/>
      </c>
      <c r="C25" s="672" t="str">
        <f ca="1">IF(ROWS($1:10)&gt;COUNT(Dong13),"",OFFSET(TH!E$1,SMALL(Dong13,ROWS($1:10)),))</f>
        <v/>
      </c>
      <c r="D25" s="673" t="str">
        <f ca="1">IF(ROWS($1:10)&gt;COUNT(Dong13),"",OFFSET(TH!F$1,SMALL(Dong13,ROWS($1:10)),))</f>
        <v/>
      </c>
      <c r="E25" s="672" t="str">
        <f ca="1">IF(ROWS($1:10)&gt;COUNT(Dong13),"",OFFSET(TH!M$1,SMALL(Dong13,ROWS($1:10)),))</f>
        <v/>
      </c>
      <c r="F25" s="751" t="str">
        <f ca="1">IF(ROWS($1:10)&gt;COUNT(Dong13),"",OFFSET(TH!K$1,SMALL(Dong13,ROWS($1:10)),))</f>
        <v/>
      </c>
      <c r="G25" s="674">
        <f t="shared" ca="1" si="0"/>
        <v>0</v>
      </c>
      <c r="H25" s="674">
        <f t="shared" ca="1" si="0"/>
        <v>0</v>
      </c>
      <c r="I25" s="674" t="str">
        <f t="shared" ca="1" si="0"/>
        <v/>
      </c>
      <c r="J25" s="674" t="str">
        <f t="shared" ca="1" si="0"/>
        <v/>
      </c>
      <c r="K25" s="674" t="str">
        <f t="shared" ca="1" si="1"/>
        <v/>
      </c>
      <c r="L25" s="674" t="str">
        <f t="shared" ca="1" si="1"/>
        <v/>
      </c>
    </row>
    <row r="26" spans="1:12" ht="21.75" customHeight="1">
      <c r="A26" s="672"/>
      <c r="B26" s="675"/>
      <c r="C26" s="672"/>
      <c r="D26" s="676"/>
      <c r="E26" s="677"/>
      <c r="F26" s="678"/>
      <c r="G26" s="678"/>
      <c r="H26" s="678"/>
      <c r="I26" s="678"/>
      <c r="J26" s="678"/>
      <c r="K26" s="678"/>
      <c r="L26" s="678"/>
    </row>
    <row r="27" spans="1:12" ht="21.75" customHeight="1">
      <c r="A27" s="672"/>
      <c r="B27" s="675"/>
      <c r="C27" s="672"/>
      <c r="D27" s="670" t="s">
        <v>133</v>
      </c>
      <c r="E27" s="669" t="s">
        <v>19</v>
      </c>
      <c r="F27" s="671">
        <f t="shared" ref="F27:L27" ca="1" si="2">SUM(F15:F26)</f>
        <v>0</v>
      </c>
      <c r="G27" s="671">
        <f t="shared" ca="1" si="2"/>
        <v>0</v>
      </c>
      <c r="H27" s="671">
        <f t="shared" ca="1" si="2"/>
        <v>0</v>
      </c>
      <c r="I27" s="671">
        <f t="shared" ca="1" si="2"/>
        <v>0</v>
      </c>
      <c r="J27" s="671">
        <f t="shared" ca="1" si="2"/>
        <v>0</v>
      </c>
      <c r="K27" s="671">
        <f t="shared" ca="1" si="2"/>
        <v>0</v>
      </c>
      <c r="L27" s="671">
        <f t="shared" ca="1" si="2"/>
        <v>0</v>
      </c>
    </row>
    <row r="28" spans="1:12" ht="21.75" customHeight="1">
      <c r="A28" s="679"/>
      <c r="B28" s="677"/>
      <c r="C28" s="679"/>
      <c r="D28" s="680" t="s">
        <v>409</v>
      </c>
      <c r="E28" s="675"/>
      <c r="F28" s="671">
        <f ca="1">SUM(G28:L28)</f>
        <v>0</v>
      </c>
      <c r="G28" s="681">
        <f t="shared" ref="G28:L28" ca="1" si="3">G27</f>
        <v>0</v>
      </c>
      <c r="H28" s="681">
        <f t="shared" ca="1" si="3"/>
        <v>0</v>
      </c>
      <c r="I28" s="681">
        <f t="shared" ca="1" si="3"/>
        <v>0</v>
      </c>
      <c r="J28" s="681">
        <f t="shared" ca="1" si="3"/>
        <v>0</v>
      </c>
      <c r="K28" s="681">
        <f t="shared" ca="1" si="3"/>
        <v>0</v>
      </c>
      <c r="L28" s="681">
        <f t="shared" ca="1" si="3"/>
        <v>0</v>
      </c>
    </row>
    <row r="29" spans="1:12" ht="21.75" customHeight="1">
      <c r="A29" s="682"/>
      <c r="B29" s="682"/>
      <c r="C29" s="682"/>
      <c r="D29" s="683" t="s">
        <v>10</v>
      </c>
      <c r="E29" s="682" t="s">
        <v>19</v>
      </c>
      <c r="F29" s="684">
        <f t="shared" ref="F29:L29" ca="1" si="4">F15+F27-F28</f>
        <v>0</v>
      </c>
      <c r="G29" s="684">
        <f t="shared" ca="1" si="4"/>
        <v>0</v>
      </c>
      <c r="H29" s="684">
        <f t="shared" ca="1" si="4"/>
        <v>0</v>
      </c>
      <c r="I29" s="684">
        <f t="shared" ca="1" si="4"/>
        <v>0</v>
      </c>
      <c r="J29" s="684">
        <f t="shared" ca="1" si="4"/>
        <v>0</v>
      </c>
      <c r="K29" s="684">
        <f t="shared" ca="1" si="4"/>
        <v>0</v>
      </c>
      <c r="L29" s="684">
        <f t="shared" ca="1" si="4"/>
        <v>0</v>
      </c>
    </row>
    <row r="31" spans="1:12">
      <c r="B31" s="685"/>
      <c r="C31" s="665" t="s">
        <v>394</v>
      </c>
    </row>
    <row r="32" spans="1:12">
      <c r="C32" s="665" t="e">
        <f ca="1">"- Ngày mở sổ: "&amp;"01/"&amp;MONTH(A16)&amp;"/"&amp;YEAR(A16)</f>
        <v>#VALUE!</v>
      </c>
    </row>
    <row r="33" spans="2:12">
      <c r="E33" s="664"/>
      <c r="F33" s="664"/>
      <c r="G33" s="664"/>
      <c r="H33" s="664"/>
      <c r="I33" s="664"/>
      <c r="J33" s="114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7"/>
      <c r="L33" s="1147"/>
    </row>
    <row r="34" spans="2:12">
      <c r="B34" s="664"/>
      <c r="C34" s="746" t="s">
        <v>11</v>
      </c>
      <c r="D34" s="664"/>
      <c r="E34" s="664"/>
      <c r="F34" s="664"/>
      <c r="G34" s="664"/>
      <c r="H34" s="664"/>
      <c r="I34" s="664"/>
      <c r="J34" s="1147" t="s">
        <v>12</v>
      </c>
      <c r="K34" s="1147"/>
      <c r="L34" s="1147"/>
    </row>
    <row r="35" spans="2:12">
      <c r="B35" s="664"/>
      <c r="C35" s="746" t="s">
        <v>13</v>
      </c>
      <c r="D35" s="664"/>
      <c r="E35" s="664"/>
      <c r="F35" s="664"/>
      <c r="G35" s="664"/>
      <c r="H35" s="664"/>
      <c r="I35" s="664"/>
      <c r="J35" s="1194" t="s">
        <v>13</v>
      </c>
      <c r="K35" s="1194"/>
      <c r="L35" s="1194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2017-02-16T09:16:21Z</dcterms:modified>
</cp:coreProperties>
</file>